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Даваасүрэн СБТайлангууд\"/>
    </mc:Choice>
  </mc:AlternateContent>
  <xr:revisionPtr revIDLastSave="0" documentId="8_{A0C9F14A-F1E7-41F1-9EFC-AF1807FA06A6}" xr6:coauthVersionLast="47" xr6:coauthVersionMax="47" xr10:uidLastSave="{00000000-0000-0000-0000-000000000000}"/>
  <bookViews>
    <workbookView xWindow="-120" yWindow="-120" windowWidth="29040" windowHeight="15840" tabRatio="860" activeTab="9" xr2:uid="{00000000-000D-0000-FFFF-FFFF00000000}"/>
  </bookViews>
  <sheets>
    <sheet name="Nuur" sheetId="1" r:id="rId1"/>
    <sheet name="balance" sheetId="4" r:id="rId2"/>
    <sheet name="OUDT" sheetId="2" r:id="rId3"/>
    <sheet name="UUT" sheetId="5" r:id="rId4"/>
    <sheet name="MGT" sheetId="3" r:id="rId5"/>
    <sheet name="Nuur-2022" sheetId="10" r:id="rId6"/>
    <sheet name="Balance-2022" sheetId="6" r:id="rId7"/>
    <sheet name="OUDT 2022" sheetId="11" r:id="rId8"/>
    <sheet name="UUT-2022" sheetId="8" r:id="rId9"/>
    <sheet name="MGT-2022" sheetId="9" r:id="rId10"/>
  </sheets>
  <externalReferences>
    <externalReference r:id="rId11"/>
  </externalReferences>
  <calcPr calcId="191029"/>
</workbook>
</file>

<file path=xl/calcChain.xml><?xml version="1.0" encoding="utf-8"?>
<calcChain xmlns="http://schemas.openxmlformats.org/spreadsheetml/2006/main">
  <c r="D18" i="11" l="1"/>
  <c r="F12" i="8"/>
  <c r="G9" i="8"/>
  <c r="D25" i="11"/>
  <c r="D24" i="11"/>
  <c r="D23" i="11"/>
  <c r="D22" i="11"/>
  <c r="D19" i="11"/>
  <c r="D17" i="11"/>
  <c r="D16" i="11"/>
  <c r="D15" i="11"/>
  <c r="D14" i="11"/>
  <c r="D13" i="11"/>
  <c r="D12" i="11"/>
  <c r="D11" i="11"/>
  <c r="D10" i="11"/>
  <c r="D9" i="11"/>
  <c r="D8" i="11"/>
  <c r="D7" i="11"/>
  <c r="D6" i="11"/>
  <c r="C25" i="11"/>
  <c r="C24" i="11"/>
  <c r="C23" i="11"/>
  <c r="C22" i="11"/>
  <c r="C21" i="11"/>
  <c r="C18" i="11"/>
  <c r="C17" i="11"/>
  <c r="C16" i="11"/>
  <c r="C15" i="11"/>
  <c r="C14" i="11"/>
  <c r="C13" i="11"/>
  <c r="C12" i="11"/>
  <c r="C10" i="11"/>
  <c r="C9" i="11"/>
  <c r="C8" i="11"/>
  <c r="C7" i="11"/>
  <c r="C6" i="11"/>
  <c r="D11" i="6"/>
  <c r="D31" i="9"/>
  <c r="D26" i="9"/>
  <c r="E12" i="8"/>
  <c r="D34" i="6"/>
  <c r="D9" i="6"/>
  <c r="D15" i="6"/>
  <c r="D8" i="6"/>
  <c r="C41" i="9" l="1"/>
  <c r="C37" i="9"/>
  <c r="C31" i="9"/>
  <c r="C26" i="9"/>
  <c r="C15" i="9"/>
  <c r="C10" i="9"/>
  <c r="C12" i="8"/>
  <c r="G12" i="8" s="1"/>
  <c r="D41" i="9"/>
  <c r="D37" i="9"/>
  <c r="D15" i="9"/>
  <c r="D10" i="9"/>
  <c r="D12" i="8"/>
  <c r="G11" i="8"/>
  <c r="G10" i="8"/>
  <c r="G8" i="8"/>
  <c r="C34" i="6"/>
  <c r="C47" i="6" s="1"/>
  <c r="C11" i="6"/>
  <c r="D64" i="6"/>
  <c r="D67" i="6" s="1"/>
  <c r="C64" i="6"/>
  <c r="C67" i="6" s="1"/>
  <c r="D54" i="6"/>
  <c r="C54" i="6"/>
  <c r="D47" i="6"/>
  <c r="D29" i="6"/>
  <c r="C29" i="6"/>
  <c r="C16" i="6"/>
  <c r="D35" i="4"/>
  <c r="D12" i="4"/>
  <c r="D47" i="9" l="1"/>
  <c r="C55" i="6"/>
  <c r="C69" i="6" s="1"/>
  <c r="D55" i="6"/>
  <c r="D69" i="6" s="1"/>
  <c r="D16" i="6"/>
  <c r="D30" i="6" s="1"/>
  <c r="D36" i="9"/>
  <c r="D25" i="9"/>
  <c r="C47" i="9"/>
  <c r="C36" i="9"/>
  <c r="C25" i="9"/>
  <c r="C49" i="9" s="1"/>
  <c r="C30" i="6"/>
  <c r="D40" i="3"/>
  <c r="D36" i="3"/>
  <c r="D46" i="3" s="1"/>
  <c r="D30" i="3"/>
  <c r="D26" i="3"/>
  <c r="D15" i="3"/>
  <c r="D10" i="3"/>
  <c r="C27" i="3"/>
  <c r="C50" i="3"/>
  <c r="D65" i="4"/>
  <c r="D68" i="4" s="1"/>
  <c r="D30" i="4"/>
  <c r="D49" i="9" l="1"/>
  <c r="D70" i="6"/>
  <c r="C70" i="6"/>
  <c r="D25" i="3"/>
  <c r="D35" i="3"/>
  <c r="D48" i="3"/>
  <c r="C25" i="3"/>
  <c r="C35" i="3"/>
  <c r="C46" i="3"/>
  <c r="G9" i="5"/>
  <c r="G10" i="5"/>
  <c r="D11" i="5"/>
  <c r="E11" i="5"/>
  <c r="F11" i="5"/>
  <c r="C11" i="5"/>
  <c r="G11" i="5" s="1"/>
  <c r="G12" i="5" s="1"/>
  <c r="G8" i="5"/>
  <c r="E19" i="2"/>
  <c r="E21" i="2" s="1"/>
  <c r="E22" i="2" s="1"/>
  <c r="E23" i="2" s="1"/>
  <c r="D19" i="2"/>
  <c r="D21" i="2" s="1"/>
  <c r="D22" i="2" s="1"/>
  <c r="C48" i="3" l="1"/>
  <c r="C65" i="4"/>
  <c r="C68" i="4" s="1"/>
  <c r="D55" i="4"/>
  <c r="C55" i="4"/>
  <c r="C25" i="4"/>
  <c r="C30" i="4" s="1"/>
  <c r="C17" i="4" l="1"/>
  <c r="D17" i="4" l="1"/>
  <c r="D31" i="4" s="1"/>
  <c r="D48" i="4" l="1"/>
  <c r="D56" i="4" l="1"/>
  <c r="D70" i="4" s="1"/>
  <c r="D71" i="4" s="1"/>
  <c r="C48" i="4"/>
  <c r="C56" i="4" l="1"/>
  <c r="C70" i="4" s="1"/>
  <c r="C31" i="4"/>
  <c r="C71" i="4" s="1"/>
</calcChain>
</file>

<file path=xl/sharedStrings.xml><?xml version="1.0" encoding="utf-8"?>
<sst xmlns="http://schemas.openxmlformats.org/spreadsheetml/2006/main" count="531" uniqueCount="231">
  <si>
    <t>1.1.1</t>
  </si>
  <si>
    <t>1.1.2</t>
  </si>
  <si>
    <t>1.1.3</t>
  </si>
  <si>
    <t>1.1.4</t>
  </si>
  <si>
    <t>1.1.5</t>
  </si>
  <si>
    <t>1.1.6</t>
  </si>
  <si>
    <t>1.1.7</t>
  </si>
  <si>
    <t>1.1.9</t>
  </si>
  <si>
    <t>1.1.20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</si>
  <si>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</si>
  <si>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</si>
  <si>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</si>
  <si>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</si>
  <si>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</si>
  <si>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</si>
  <si>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</si>
  <si>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</si>
  <si>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</si>
  <si>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</si>
  <si>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</si>
  <si>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2.1.1</t>
  </si>
  <si>
    <t>2.1.1.1</t>
  </si>
  <si>
    <t>2.1.1.2</t>
  </si>
  <si>
    <t>2.1.1.3</t>
  </si>
  <si>
    <t>2.1.1.4</t>
  </si>
  <si>
    <t>2.1.1.5</t>
  </si>
  <si>
    <t>2.1.1.6</t>
  </si>
  <si>
    <t>2.1.1.7</t>
  </si>
  <si>
    <t>2.1.1.8</t>
  </si>
  <si>
    <t>2.1.1.9</t>
  </si>
  <si>
    <t>2.1.1.10</t>
  </si>
  <si>
    <t>2.1.1.11</t>
  </si>
  <si>
    <t>2.1.1.12</t>
  </si>
  <si>
    <t>2.1.2</t>
  </si>
  <si>
    <t>2.1.2.1</t>
  </si>
  <si>
    <t>2.1.2.2</t>
  </si>
  <si>
    <t>2.1.2.3</t>
  </si>
  <si>
    <t>2.1.2.4</t>
  </si>
  <si>
    <t>2.1.2.5</t>
  </si>
  <si>
    <t>2.1.2.6</t>
  </si>
  <si>
    <t>2.1.20</t>
  </si>
  <si>
    <t>2.2.2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</si>
  <si>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</si>
  <si>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</si>
  <si>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</si>
  <si>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</si>
  <si>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</si>
  <si>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</si>
  <si>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</si>
  <si>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</si>
  <si>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2.3.8.1</t>
  </si>
  <si>
    <t>2.3.8.2</t>
  </si>
  <si>
    <t>2.3.20</t>
  </si>
  <si>
    <t>2.5.20</t>
  </si>
  <si>
    <t>Row No.</t>
  </si>
  <si>
    <t>Items</t>
  </si>
  <si>
    <t>Balance</t>
  </si>
  <si>
    <t xml:space="preserve">     Current asset</t>
  </si>
  <si>
    <t>Cash and cash equivalent</t>
  </si>
  <si>
    <t>Short term investment</t>
  </si>
  <si>
    <t>Short term investment provision</t>
  </si>
  <si>
    <t>Other receivable</t>
  </si>
  <si>
    <t>Inventory</t>
  </si>
  <si>
    <t>Prepaid expenses</t>
  </si>
  <si>
    <t>ASSETS</t>
  </si>
  <si>
    <t>Fixed asset</t>
  </si>
  <si>
    <t>Accumulated depreciation</t>
  </si>
  <si>
    <t>Other fixed assets</t>
  </si>
  <si>
    <t>Building under construction</t>
  </si>
  <si>
    <t>Livestock (Agricultural)</t>
  </si>
  <si>
    <t>Intangible asset</t>
  </si>
  <si>
    <t>Investment and other assets</t>
  </si>
  <si>
    <t>Unrealized loss on long term investments</t>
  </si>
  <si>
    <t>Exploration for and evaluation of mineral resources</t>
  </si>
  <si>
    <t>LIABILITIES AND OWNER'S EQUITY</t>
  </si>
  <si>
    <t>Other tax payables</t>
  </si>
  <si>
    <t>Short term bank loan</t>
  </si>
  <si>
    <t>Other payables</t>
  </si>
  <si>
    <t>Unearned revenue</t>
  </si>
  <si>
    <t>Long term liabilities</t>
  </si>
  <si>
    <t>Long term notes payable</t>
  </si>
  <si>
    <t>Long term loans</t>
  </si>
  <si>
    <t>Long term bonds payable</t>
  </si>
  <si>
    <t>Allowance for long term liabilities</t>
  </si>
  <si>
    <t>Total long term liabilities</t>
  </si>
  <si>
    <t>Share :    а) government</t>
  </si>
  <si>
    <t xml:space="preserve">               b) private</t>
  </si>
  <si>
    <t>Treasury stock</t>
  </si>
  <si>
    <t>Total stock</t>
  </si>
  <si>
    <t xml:space="preserve">Other capital </t>
  </si>
  <si>
    <t>Retained earnings</t>
  </si>
  <si>
    <t xml:space="preserve">            Current year</t>
  </si>
  <si>
    <t xml:space="preserve">            Prior period</t>
  </si>
  <si>
    <t>From which: Minority interest</t>
  </si>
  <si>
    <t>Director_______________________</t>
  </si>
  <si>
    <t>Chief accountant_________________</t>
  </si>
  <si>
    <t>INCOME STATEMENT</t>
  </si>
  <si>
    <t>(MNT)</t>
  </si>
  <si>
    <t>Preveous year period</t>
  </si>
  <si>
    <t>Current period</t>
  </si>
  <si>
    <t>Income</t>
  </si>
  <si>
    <t>STATEMENT OF STOCKHOLDERS' EQUITY</t>
  </si>
  <si>
    <t>CASH FLOW STATEMENT</t>
  </si>
  <si>
    <t xml:space="preserve">   Cash inflow </t>
  </si>
  <si>
    <t xml:space="preserve">   Cash outflow</t>
  </si>
  <si>
    <t>Registration number:</t>
  </si>
  <si>
    <t>Authorized government office</t>
  </si>
  <si>
    <t>Date</t>
  </si>
  <si>
    <t>Signature</t>
  </si>
  <si>
    <t>2020.12.31</t>
  </si>
  <si>
    <t>2021.12.31</t>
  </si>
  <si>
    <t>Pre-paid income</t>
  </si>
  <si>
    <t>Reserves / liabilities/</t>
  </si>
  <si>
    <t>Lease income</t>
  </si>
  <si>
    <t>Operation income</t>
  </si>
  <si>
    <t>Dividend income</t>
  </si>
  <si>
    <t>Other income</t>
  </si>
  <si>
    <t>B</t>
  </si>
  <si>
    <t>"BDSEC"JSC</t>
  </si>
  <si>
    <t>General and Administration cost</t>
  </si>
  <si>
    <t xml:space="preserve">Financial cost </t>
  </si>
  <si>
    <t>Other cost</t>
  </si>
  <si>
    <t>Forein exchange conversaion gains/loss/</t>
  </si>
  <si>
    <t>Other profit /loss/</t>
  </si>
  <si>
    <t>Pre tax earnings /loss/</t>
  </si>
  <si>
    <t>Net earnings after tax payment /loss/</t>
  </si>
  <si>
    <t>Interest oncome</t>
  </si>
  <si>
    <t>Net profit /loss/ during tax period</t>
  </si>
  <si>
    <t xml:space="preserve">Declared dividend </t>
  </si>
  <si>
    <t>Equity capital</t>
  </si>
  <si>
    <t>Additional paid capital</t>
  </si>
  <si>
    <t>Revaluation reserve</t>
  </si>
  <si>
    <t>Retained profit</t>
  </si>
  <si>
    <t>Totel</t>
  </si>
  <si>
    <t>1.1.</t>
  </si>
  <si>
    <t>2.1.3</t>
  </si>
  <si>
    <t>2.1.4</t>
  </si>
  <si>
    <t>2.1.5</t>
  </si>
  <si>
    <t>2.2.1</t>
  </si>
  <si>
    <t>2.2.3</t>
  </si>
  <si>
    <t>2.2.4</t>
  </si>
  <si>
    <t>3.1.1</t>
  </si>
  <si>
    <t>3.1.2</t>
  </si>
  <si>
    <t>3.1.3</t>
  </si>
  <si>
    <t>3.2.1</t>
  </si>
  <si>
    <t>3.2.2</t>
  </si>
  <si>
    <t>3.2.3</t>
  </si>
  <si>
    <t>3.2.4</t>
  </si>
  <si>
    <t>3.2.5</t>
  </si>
  <si>
    <t>Main operation cash flow</t>
  </si>
  <si>
    <t>Cash secondary business operation</t>
  </si>
  <si>
    <t>Other cash income</t>
  </si>
  <si>
    <t>Cash from sales and service</t>
  </si>
  <si>
    <t>Cash from insurance reimbursement</t>
  </si>
  <si>
    <t>Cash paid to employees</t>
  </si>
  <si>
    <t>Cash paid for raw material</t>
  </si>
  <si>
    <t>Cash paid for utilities</t>
  </si>
  <si>
    <t>Cash paid for petrol and transportation cost</t>
  </si>
  <si>
    <t>Cash paid for interest fee</t>
  </si>
  <si>
    <t>Cash paid for tax organization</t>
  </si>
  <si>
    <t>Cash paid for insurance fee</t>
  </si>
  <si>
    <t>Income of investment sales</t>
  </si>
  <si>
    <t>Loan for others, repayment of cash advances</t>
  </si>
  <si>
    <t>Received dividend</t>
  </si>
  <si>
    <t>Paid amount for owing main assets</t>
  </si>
  <si>
    <t>Paid amount for owing intangible assets</t>
  </si>
  <si>
    <t>Paid amoint for owing investment</t>
  </si>
  <si>
    <t>Loan for others and advance for others</t>
  </si>
  <si>
    <t>Income amount from Loan and issued deft securities</t>
  </si>
  <si>
    <t>Various types of donation</t>
  </si>
  <si>
    <t>Cash for loan and debt securities</t>
  </si>
  <si>
    <t>Paid amount for financial</t>
  </si>
  <si>
    <t>Paid dividend</t>
  </si>
  <si>
    <t>Other</t>
  </si>
  <si>
    <t>Net cash flow amount of financial operation</t>
  </si>
  <si>
    <t>Net cash flow investment operation</t>
  </si>
  <si>
    <t>Net cash flow of investment operation</t>
  </si>
  <si>
    <t>Foreign currency exchange difference</t>
  </si>
  <si>
    <t>Totel net cash flow</t>
  </si>
  <si>
    <t>Cash and similar assets final balance</t>
  </si>
  <si>
    <t>Paid for repurchase of shares</t>
  </si>
  <si>
    <t>Account receivable</t>
  </si>
  <si>
    <t>Allowance from doubtful account</t>
  </si>
  <si>
    <t>Current asset amount</t>
  </si>
  <si>
    <t>Non-current asset</t>
  </si>
  <si>
    <t>Non-current asset amount</t>
  </si>
  <si>
    <t>Short term liabilities</t>
  </si>
  <si>
    <t>Account payables</t>
  </si>
  <si>
    <t>Salary payables</t>
  </si>
  <si>
    <t>Tax payables</t>
  </si>
  <si>
    <t>VAT payables</t>
  </si>
  <si>
    <t>Dividend payables</t>
  </si>
  <si>
    <t>Social insurance tax payables</t>
  </si>
  <si>
    <t>Income tax payables</t>
  </si>
  <si>
    <t>Total short term liabilities</t>
  </si>
  <si>
    <t>Income tax expense</t>
  </si>
  <si>
    <t>Net profit/loss of reporting period</t>
  </si>
  <si>
    <t>FINANCIAL STATEMENT</t>
  </si>
  <si>
    <t>Cash paid to soCial insurance organization</t>
  </si>
  <si>
    <t>Other cash expense</t>
  </si>
  <si>
    <t xml:space="preserve">Other </t>
  </si>
  <si>
    <t xml:space="preserve">Cash and similar assets initial balance </t>
  </si>
  <si>
    <t xml:space="preserve">APPENDIX 2 TO THE RESOLUTION NO. …  </t>
  </si>
  <si>
    <t>OF MINISTER OF FIANCE OF 2017</t>
  </si>
  <si>
    <t>Address: Sukhbaatar district, 8th khoroo, Beijing street 27/1</t>
  </si>
  <si>
    <t xml:space="preserve">Postal address: </t>
  </si>
  <si>
    <t>Telephone: 313108            Fax: 323411</t>
  </si>
  <si>
    <t>Private 100%</t>
  </si>
  <si>
    <t>SHAREHOLDER'S EQUITY</t>
  </si>
  <si>
    <t xml:space="preserve">TOTAL LIABILITIES &amp;  SHAREHOLDER'S EQUITY </t>
  </si>
  <si>
    <t xml:space="preserve">Ownership type:                   Government………….. percentage </t>
  </si>
  <si>
    <t>BALANCE SHEET</t>
  </si>
  <si>
    <t>TOTAL ASSETS</t>
  </si>
  <si>
    <t xml:space="preserve">    LIABILITIES</t>
  </si>
  <si>
    <t>TOTAL LIABILITIES</t>
  </si>
  <si>
    <t>TOTAL OWNER'S EQUITY</t>
  </si>
  <si>
    <t>2022Q4</t>
  </si>
  <si>
    <t>2022.12.31</t>
  </si>
  <si>
    <t>2.1.6</t>
  </si>
  <si>
    <t>Income from sale of fixed assets</t>
  </si>
  <si>
    <t>/MNT/</t>
  </si>
  <si>
    <t>Operation Income</t>
  </si>
  <si>
    <t>Income from broker and dealer activities</t>
  </si>
  <si>
    <t>Income from underwriting activities</t>
  </si>
  <si>
    <t>Net income from securities trading</t>
  </si>
  <si>
    <t>Stock Dividends</t>
  </si>
  <si>
    <t>Forein exchange conversaion gains /loss/</t>
  </si>
  <si>
    <t xml:space="preserve">Capital asset write off gains /loss/ </t>
  </si>
  <si>
    <t>Intangible assets of Derecognition gains /loss/</t>
  </si>
  <si>
    <t/>
  </si>
  <si>
    <t>Change in accounting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</si>
</sst>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[$-409]mmmm\ d\,\ yyyy;@"/>
    <numFmt numFmtId="166" formatCode="_-* #,##0.00_р_._-;\-* #,##0.00_р_._-;_-* &quot;-&quot;??_р_._-;_-@_-"/>
    <numFmt numFmtId="167" formatCode="_(* #,##0_);_(* \(#,##0\);_(* &quot;-&quot;??_);_(@_)"/>
  </numFmts>
  <fonts count="32">
    <font>
      <sz val="10"/>
      <name val="Arial"/>
    </font>
    <font>
      <sz val="10"/>
      <name val="Arial"/>
      <family val="2"/>
    </font>
    <font>
      <sz val="10"/>
      <name val="Arial Mon"/>
      <family val="2"/>
    </font>
    <font>
      <sz val="11"/>
      <name val="Times New Roman Mon"/>
      <family val="1"/>
    </font>
    <font>
      <sz val="8"/>
      <name val="Arial"/>
      <family val="2"/>
    </font>
    <font>
      <sz val="11"/>
      <name val="Arial"/>
      <family val="2"/>
    </font>
    <font>
      <u/>
      <sz val="11"/>
      <name val="Arial Mo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  <font>
      <sz val="11"/>
      <color indexed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42"/>
      <color indexed="9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Times New Roman Mon"/>
      <family val="1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 Mon"/>
      <family val="1"/>
    </font>
    <font>
      <b/>
      <u val="singleAccounting"/>
      <sz val="11"/>
      <name val="Times New Roman"/>
      <family val="1"/>
    </font>
    <font>
      <sz val="11"/>
      <name val="Arial Mon"/>
      <family val="2"/>
    </font>
    <font>
      <sz val="11"/>
      <color theme="1" tint="4.9989318521683403E-2"/>
      <name val="Times New Roman"/>
      <family val="1"/>
    </font>
    <font>
      <sz val="11"/>
      <color rgb="FF202124"/>
      <name val="Times New Roman"/>
      <family val="1"/>
    </font>
    <font>
      <b/>
      <sz val="11"/>
      <name val="Times New Roman Mon"/>
      <family val="1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68">
    <xf numFmtId="0" fontId="0" fillId="0" borderId="0" xfId="0"/>
    <xf numFmtId="43" fontId="6" fillId="0" borderId="0" xfId="1" applyFont="1" applyAlignment="1">
      <alignment horizontal="left" vertical="center"/>
    </xf>
    <xf numFmtId="0" fontId="8" fillId="0" borderId="3" xfId="0" applyFont="1" applyBorder="1"/>
    <xf numFmtId="0" fontId="7" fillId="0" borderId="3" xfId="0" applyFont="1" applyBorder="1"/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wrapText="1"/>
    </xf>
    <xf numFmtId="43" fontId="7" fillId="0" borderId="0" xfId="1" applyFont="1" applyFill="1" applyAlignment="1">
      <alignment horizontal="right"/>
    </xf>
    <xf numFmtId="43" fontId="12" fillId="0" borderId="3" xfId="1" applyFont="1" applyFill="1" applyBorder="1" applyAlignment="1">
      <alignment horizontal="left" vertical="center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3" fontId="12" fillId="0" borderId="3" xfId="1" applyFont="1" applyBorder="1" applyAlignment="1">
      <alignment vertical="center"/>
    </xf>
    <xf numFmtId="43" fontId="7" fillId="0" borderId="0" xfId="1" applyFont="1"/>
    <xf numFmtId="0" fontId="7" fillId="0" borderId="0" xfId="0" applyFont="1"/>
    <xf numFmtId="43" fontId="7" fillId="0" borderId="0" xfId="1" applyFont="1" applyBorder="1"/>
    <xf numFmtId="43" fontId="7" fillId="0" borderId="0" xfId="1" applyFont="1" applyBorder="1" applyAlignment="1">
      <alignment horizontal="center" vertical="center" wrapText="1"/>
    </xf>
    <xf numFmtId="164" fontId="21" fillId="0" borderId="3" xfId="1" applyNumberFormat="1" applyFont="1" applyBorder="1" applyAlignment="1">
      <alignment horizontal="left" vertical="center"/>
    </xf>
    <xf numFmtId="43" fontId="7" fillId="0" borderId="3" xfId="1" applyFont="1" applyBorder="1"/>
    <xf numFmtId="43" fontId="12" fillId="0" borderId="3" xfId="1" applyFont="1" applyBorder="1" applyAlignment="1">
      <alignment horizontal="left" vertical="center"/>
    </xf>
    <xf numFmtId="43" fontId="7" fillId="0" borderId="0" xfId="0" applyNumberFormat="1" applyFont="1"/>
    <xf numFmtId="164" fontId="12" fillId="0" borderId="3" xfId="1" applyNumberFormat="1" applyFont="1" applyBorder="1" applyAlignment="1">
      <alignment horizontal="left" vertical="center"/>
    </xf>
    <xf numFmtId="43" fontId="23" fillId="0" borderId="0" xfId="1" applyFont="1" applyBorder="1" applyAlignment="1">
      <alignment horizontal="center" vertical="center"/>
    </xf>
    <xf numFmtId="43" fontId="23" fillId="0" borderId="0" xfId="1" applyFont="1" applyBorder="1" applyAlignment="1">
      <alignment vertical="center"/>
    </xf>
    <xf numFmtId="43" fontId="3" fillId="0" borderId="0" xfId="1" applyFont="1" applyFill="1" applyAlignment="1">
      <alignment horizontal="center"/>
    </xf>
    <xf numFmtId="43" fontId="23" fillId="0" borderId="3" xfId="1" applyFont="1" applyBorder="1" applyAlignment="1">
      <alignment vertical="center"/>
    </xf>
    <xf numFmtId="43" fontId="23" fillId="0" borderId="3" xfId="1" applyFont="1" applyBorder="1" applyAlignment="1">
      <alignment horizontal="center" vertical="center"/>
    </xf>
    <xf numFmtId="43" fontId="23" fillId="0" borderId="3" xfId="1" applyFont="1" applyBorder="1" applyAlignment="1">
      <alignment horizontal="left" vertical="center"/>
    </xf>
    <xf numFmtId="0" fontId="3" fillId="0" borderId="0" xfId="0" applyFont="1"/>
    <xf numFmtId="43" fontId="3" fillId="0" borderId="0" xfId="1" applyFont="1"/>
    <xf numFmtId="165" fontId="3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43" fontId="22" fillId="0" borderId="0" xfId="1" applyFont="1" applyBorder="1" applyAlignment="1">
      <alignment horizontal="center" vertical="center"/>
    </xf>
    <xf numFmtId="165" fontId="7" fillId="0" borderId="0" xfId="1" applyNumberFormat="1" applyFont="1" applyFill="1" applyAlignment="1"/>
    <xf numFmtId="167" fontId="22" fillId="0" borderId="0" xfId="1" applyNumberFormat="1" applyFont="1" applyBorder="1" applyAlignment="1">
      <alignment horizontal="center" vertical="center"/>
    </xf>
    <xf numFmtId="167" fontId="8" fillId="0" borderId="3" xfId="1" applyNumberFormat="1" applyFont="1" applyBorder="1" applyAlignment="1">
      <alignment horizontal="center" wrapText="1"/>
    </xf>
    <xf numFmtId="167" fontId="7" fillId="0" borderId="3" xfId="1" applyNumberFormat="1" applyFont="1" applyBorder="1"/>
    <xf numFmtId="167" fontId="24" fillId="0" borderId="3" xfId="1" applyNumberFormat="1" applyFont="1" applyBorder="1"/>
    <xf numFmtId="167" fontId="7" fillId="0" borderId="3" xfId="1" applyNumberFormat="1" applyFont="1" applyFill="1" applyBorder="1" applyAlignment="1">
      <alignment horizontal="right"/>
    </xf>
    <xf numFmtId="167" fontId="7" fillId="0" borderId="3" xfId="1" applyNumberFormat="1" applyFont="1" applyFill="1" applyBorder="1"/>
    <xf numFmtId="167" fontId="8" fillId="0" borderId="3" xfId="1" applyNumberFormat="1" applyFont="1" applyBorder="1"/>
    <xf numFmtId="167" fontId="8" fillId="0" borderId="3" xfId="1" applyNumberFormat="1" applyFont="1" applyFill="1" applyBorder="1"/>
    <xf numFmtId="167" fontId="7" fillId="0" borderId="0" xfId="1" applyNumberFormat="1" applyFont="1"/>
    <xf numFmtId="43" fontId="12" fillId="0" borderId="0" xfId="1" applyFont="1" applyAlignment="1">
      <alignment horizontal="left" vertical="center"/>
    </xf>
    <xf numFmtId="167" fontId="7" fillId="0" borderId="0" xfId="1" applyNumberFormat="1" applyFont="1" applyAlignment="1"/>
    <xf numFmtId="0" fontId="7" fillId="0" borderId="0" xfId="0" applyFont="1" applyAlignment="1">
      <alignment horizontal="left"/>
    </xf>
    <xf numFmtId="167" fontId="7" fillId="0" borderId="0" xfId="1" applyNumberFormat="1" applyFont="1" applyBorder="1" applyAlignment="1">
      <alignment horizontal="center" vertical="center" wrapText="1"/>
    </xf>
    <xf numFmtId="167" fontId="7" fillId="0" borderId="0" xfId="1" applyNumberFormat="1" applyFont="1" applyFill="1" applyAlignment="1">
      <alignment horizontal="right"/>
    </xf>
    <xf numFmtId="167" fontId="21" fillId="0" borderId="3" xfId="1" applyNumberFormat="1" applyFont="1" applyBorder="1" applyAlignment="1">
      <alignment horizontal="left" vertical="center"/>
    </xf>
    <xf numFmtId="167" fontId="12" fillId="0" borderId="3" xfId="1" applyNumberFormat="1" applyFont="1" applyBorder="1" applyAlignment="1">
      <alignment horizontal="left" vertical="center"/>
    </xf>
    <xf numFmtId="167" fontId="12" fillId="0" borderId="3" xfId="1" applyNumberFormat="1" applyFont="1" applyBorder="1" applyAlignment="1">
      <alignment vertical="center"/>
    </xf>
    <xf numFmtId="4" fontId="8" fillId="0" borderId="0" xfId="0" applyNumberFormat="1" applyFont="1"/>
    <xf numFmtId="0" fontId="8" fillId="0" borderId="0" xfId="0" applyFont="1"/>
    <xf numFmtId="167" fontId="7" fillId="0" borderId="3" xfId="1" applyNumberFormat="1" applyFont="1" applyBorder="1" applyAlignment="1"/>
    <xf numFmtId="167" fontId="8" fillId="0" borderId="3" xfId="1" applyNumberFormat="1" applyFont="1" applyBorder="1" applyAlignment="1"/>
    <xf numFmtId="167" fontId="3" fillId="0" borderId="0" xfId="1" applyNumberFormat="1" applyFont="1"/>
    <xf numFmtId="167" fontId="3" fillId="0" borderId="0" xfId="1" applyNumberFormat="1" applyFont="1" applyAlignment="1"/>
    <xf numFmtId="167" fontId="3" fillId="0" borderId="0" xfId="1" applyNumberFormat="1" applyFont="1" applyFill="1" applyAlignment="1">
      <alignment horizontal="right"/>
    </xf>
    <xf numFmtId="167" fontId="3" fillId="0" borderId="3" xfId="1" applyNumberFormat="1" applyFont="1" applyBorder="1" applyAlignment="1">
      <alignment horizontal="center"/>
    </xf>
    <xf numFmtId="167" fontId="23" fillId="0" borderId="3" xfId="1" applyNumberFormat="1" applyFont="1" applyBorder="1" applyAlignment="1">
      <alignment vertical="center"/>
    </xf>
    <xf numFmtId="167" fontId="23" fillId="0" borderId="3" xfId="1" applyNumberFormat="1" applyFont="1" applyBorder="1" applyAlignment="1">
      <alignment horizontal="center" vertical="center"/>
    </xf>
    <xf numFmtId="167" fontId="3" fillId="0" borderId="3" xfId="1" applyNumberFormat="1" applyFont="1" applyBorder="1"/>
    <xf numFmtId="0" fontId="7" fillId="0" borderId="0" xfId="2" applyFont="1"/>
    <xf numFmtId="0" fontId="5" fillId="0" borderId="0" xfId="0" applyFont="1"/>
    <xf numFmtId="0" fontId="8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25" fillId="0" borderId="0" xfId="1" applyFont="1"/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167" fontId="8" fillId="0" borderId="3" xfId="1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167" fontId="26" fillId="0" borderId="3" xfId="1" applyNumberFormat="1" applyFont="1" applyFill="1" applyBorder="1" applyAlignment="1">
      <alignment horizontal="right"/>
    </xf>
    <xf numFmtId="167" fontId="8" fillId="0" borderId="4" xfId="1" applyNumberFormat="1" applyFont="1" applyFill="1" applyBorder="1" applyAlignment="1">
      <alignment horizontal="center" vertical="center"/>
    </xf>
    <xf numFmtId="167" fontId="7" fillId="0" borderId="3" xfId="1" applyNumberFormat="1" applyFont="1" applyFill="1" applyBorder="1" applyAlignment="1">
      <alignment wrapText="1"/>
    </xf>
    <xf numFmtId="167" fontId="7" fillId="0" borderId="3" xfId="1" applyNumberFormat="1" applyFont="1" applyFill="1" applyBorder="1" applyAlignment="1">
      <alignment vertical="center"/>
    </xf>
    <xf numFmtId="167" fontId="7" fillId="0" borderId="3" xfId="1" applyNumberFormat="1" applyFont="1" applyFill="1" applyBorder="1" applyAlignment="1">
      <alignment vertical="center" wrapText="1"/>
    </xf>
    <xf numFmtId="167" fontId="8" fillId="0" borderId="3" xfId="1" applyNumberFormat="1" applyFont="1" applyFill="1" applyBorder="1" applyAlignment="1">
      <alignment horizontal="center" wrapText="1"/>
    </xf>
    <xf numFmtId="167" fontId="7" fillId="0" borderId="8" xfId="1" applyNumberFormat="1" applyFont="1" applyFill="1" applyBorder="1"/>
    <xf numFmtId="167" fontId="7" fillId="0" borderId="3" xfId="1" applyNumberFormat="1" applyFont="1" applyFill="1" applyBorder="1" applyAlignment="1">
      <alignment horizontal="left" wrapText="1"/>
    </xf>
    <xf numFmtId="167" fontId="27" fillId="0" borderId="0" xfId="1" applyNumberFormat="1" applyFont="1" applyAlignment="1">
      <alignment horizontal="left" vertical="center"/>
    </xf>
    <xf numFmtId="167" fontId="7" fillId="0" borderId="3" xfId="1" applyNumberFormat="1" applyFont="1" applyFill="1" applyBorder="1" applyAlignment="1">
      <alignment horizontal="center" vertical="center"/>
    </xf>
    <xf numFmtId="167" fontId="8" fillId="0" borderId="3" xfId="1" applyNumberFormat="1" applyFont="1" applyFill="1" applyBorder="1" applyAlignment="1">
      <alignment horizontal="center"/>
    </xf>
    <xf numFmtId="166" fontId="7" fillId="0" borderId="0" xfId="2" applyNumberFormat="1" applyFont="1"/>
    <xf numFmtId="43" fontId="7" fillId="0" borderId="0" xfId="1" applyFont="1" applyFill="1" applyBorder="1" applyAlignment="1"/>
    <xf numFmtId="43" fontId="7" fillId="0" borderId="0" xfId="1" applyFont="1" applyFill="1" applyAlignment="1"/>
    <xf numFmtId="43" fontId="7" fillId="0" borderId="0" xfId="1" applyFont="1" applyFill="1"/>
    <xf numFmtId="39" fontId="7" fillId="0" borderId="0" xfId="0" applyNumberFormat="1" applyFont="1"/>
    <xf numFmtId="4" fontId="7" fillId="0" borderId="0" xfId="0" applyNumberFormat="1" applyFont="1"/>
    <xf numFmtId="167" fontId="7" fillId="3" borderId="3" xfId="1" applyNumberFormat="1" applyFont="1" applyFill="1" applyBorder="1"/>
    <xf numFmtId="167" fontId="7" fillId="3" borderId="3" xfId="1" applyNumberFormat="1" applyFont="1" applyFill="1" applyBorder="1" applyAlignment="1">
      <alignment horizontal="right"/>
    </xf>
    <xf numFmtId="167" fontId="11" fillId="0" borderId="5" xfId="1" applyNumberFormat="1" applyFont="1" applyBorder="1" applyAlignment="1">
      <alignment wrapText="1"/>
    </xf>
    <xf numFmtId="43" fontId="29" fillId="0" borderId="0" xfId="1" applyFont="1"/>
    <xf numFmtId="167" fontId="7" fillId="0" borderId="0" xfId="0" applyNumberFormat="1" applyFont="1"/>
    <xf numFmtId="167" fontId="7" fillId="4" borderId="3" xfId="1" applyNumberFormat="1" applyFont="1" applyFill="1" applyBorder="1"/>
    <xf numFmtId="167" fontId="7" fillId="0" borderId="5" xfId="1" applyNumberFormat="1" applyFont="1" applyFill="1" applyBorder="1"/>
    <xf numFmtId="167" fontId="8" fillId="4" borderId="3" xfId="1" applyNumberFormat="1" applyFont="1" applyFill="1" applyBorder="1" applyAlignment="1">
      <alignment horizontal="center" vertical="center"/>
    </xf>
    <xf numFmtId="167" fontId="8" fillId="4" borderId="4" xfId="1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31" fillId="0" borderId="0" xfId="0" applyFont="1"/>
    <xf numFmtId="0" fontId="29" fillId="0" borderId="9" xfId="0" applyFont="1" applyBorder="1" applyAlignment="1">
      <alignment horizontal="left" wrapText="1"/>
    </xf>
    <xf numFmtId="0" fontId="29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 wrapText="1"/>
    </xf>
    <xf numFmtId="164" fontId="29" fillId="0" borderId="9" xfId="0" applyNumberFormat="1" applyFont="1" applyBorder="1" applyAlignment="1">
      <alignment horizontal="left" vertical="center" wrapText="1"/>
    </xf>
    <xf numFmtId="164" fontId="31" fillId="0" borderId="9" xfId="0" applyNumberFormat="1" applyFont="1" applyBorder="1" applyAlignment="1">
      <alignment horizontal="left" vertical="center" wrapText="1"/>
    </xf>
    <xf numFmtId="167" fontId="31" fillId="0" borderId="0" xfId="1" applyNumberFormat="1" applyFont="1"/>
    <xf numFmtId="167" fontId="31" fillId="0" borderId="0" xfId="1" applyNumberFormat="1" applyFont="1" applyAlignment="1">
      <alignment horizontal="right" vertical="top" wrapText="1"/>
    </xf>
    <xf numFmtId="167" fontId="29" fillId="0" borderId="9" xfId="1" applyNumberFormat="1" applyFont="1" applyBorder="1" applyAlignment="1">
      <alignment horizontal="center" vertical="center" wrapText="1"/>
    </xf>
    <xf numFmtId="167" fontId="31" fillId="0" borderId="9" xfId="1" applyNumberFormat="1" applyFont="1" applyBorder="1" applyAlignment="1">
      <alignment horizontal="right" vertical="center" wrapText="1"/>
    </xf>
    <xf numFmtId="167" fontId="29" fillId="0" borderId="9" xfId="1" applyNumberFormat="1" applyFont="1" applyBorder="1" applyAlignment="1">
      <alignment horizontal="right" vertical="center" wrapText="1"/>
    </xf>
    <xf numFmtId="167" fontId="0" fillId="0" borderId="0" xfId="1" applyNumberFormat="1" applyFont="1"/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6" xfId="0" applyFont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167" fontId="7" fillId="0" borderId="0" xfId="1" applyNumberFormat="1" applyFont="1" applyBorder="1"/>
    <xf numFmtId="167" fontId="7" fillId="0" borderId="0" xfId="1" applyNumberFormat="1" applyFont="1"/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43" fontId="22" fillId="0" borderId="0" xfId="1" applyFont="1" applyBorder="1" applyAlignment="1">
      <alignment horizontal="center" vertical="center"/>
    </xf>
    <xf numFmtId="167" fontId="8" fillId="0" borderId="3" xfId="1" applyNumberFormat="1" applyFont="1" applyBorder="1" applyAlignment="1">
      <alignment horizontal="center"/>
    </xf>
    <xf numFmtId="167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43" fontId="21" fillId="0" borderId="3" xfId="1" applyFont="1" applyBorder="1" applyAlignment="1">
      <alignment horizontal="left" vertical="center"/>
    </xf>
    <xf numFmtId="43" fontId="7" fillId="0" borderId="3" xfId="1" applyFont="1" applyBorder="1" applyAlignment="1">
      <alignment horizontal="center" vertical="center" wrapText="1"/>
    </xf>
    <xf numFmtId="167" fontId="7" fillId="0" borderId="3" xfId="1" applyNumberFormat="1" applyFont="1" applyFill="1" applyBorder="1" applyAlignment="1">
      <alignment horizontal="center" vertical="center" wrapText="1"/>
    </xf>
    <xf numFmtId="167" fontId="7" fillId="0" borderId="3" xfId="1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7" fontId="11" fillId="0" borderId="5" xfId="1" applyNumberFormat="1" applyFont="1" applyBorder="1" applyAlignment="1">
      <alignment wrapText="1"/>
    </xf>
    <xf numFmtId="167" fontId="11" fillId="0" borderId="2" xfId="1" applyNumberFormat="1" applyFont="1" applyBorder="1" applyAlignment="1">
      <alignment wrapText="1"/>
    </xf>
    <xf numFmtId="43" fontId="8" fillId="0" borderId="1" xfId="1" applyFont="1" applyFill="1" applyBorder="1" applyAlignment="1">
      <alignment horizontal="center" vertical="center"/>
    </xf>
    <xf numFmtId="43" fontId="8" fillId="0" borderId="4" xfId="1" applyFont="1" applyFill="1" applyBorder="1" applyAlignment="1">
      <alignment horizontal="center" vertical="center"/>
    </xf>
    <xf numFmtId="43" fontId="6" fillId="0" borderId="0" xfId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 17" xfId="3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152400</xdr:rowOff>
    </xdr:from>
    <xdr:to>
      <xdr:col>4</xdr:col>
      <xdr:colOff>0</xdr:colOff>
      <xdr:row>6</xdr:row>
      <xdr:rowOff>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6</xdr:row>
      <xdr:rowOff>0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6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6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6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6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152400</xdr:rowOff>
    </xdr:from>
    <xdr:to>
      <xdr:col>4</xdr:col>
      <xdr:colOff>0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A4345C4F-A66B-4F5A-B59C-3542DFC53BAB}"/>
            </a:ext>
          </a:extLst>
        </xdr:cNvPr>
        <xdr:cNvSpPr>
          <a:spLocks noChangeShapeType="1"/>
        </xdr:cNvSpPr>
      </xdr:nvSpPr>
      <xdr:spPr bwMode="auto">
        <a:xfrm flipH="1" flipV="1">
          <a:off x="6267450" y="1066800"/>
          <a:ext cx="0" cy="28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6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E0500D24-233E-4444-BC06-C1756C61A38D}"/>
            </a:ext>
          </a:extLst>
        </xdr:cNvPr>
        <xdr:cNvSpPr>
          <a:spLocks noChangeShapeType="1"/>
        </xdr:cNvSpPr>
      </xdr:nvSpPr>
      <xdr:spPr bwMode="auto">
        <a:xfrm flipV="1">
          <a:off x="8572500" y="1066800"/>
          <a:ext cx="247650" cy="28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06EE4CD-D533-4298-BCF1-FB32912B515F}"/>
            </a:ext>
          </a:extLst>
        </xdr:cNvPr>
        <xdr:cNvSpPr>
          <a:spLocks noChangeShapeType="1"/>
        </xdr:cNvSpPr>
      </xdr:nvSpPr>
      <xdr:spPr bwMode="auto">
        <a:xfrm flipH="1" flipV="1">
          <a:off x="6267450" y="1066800"/>
          <a:ext cx="0" cy="28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9F21256-50B8-443D-894F-448D55D802D6}"/>
            </a:ext>
          </a:extLst>
        </xdr:cNvPr>
        <xdr:cNvSpPr>
          <a:spLocks noChangeShapeType="1"/>
        </xdr:cNvSpPr>
      </xdr:nvSpPr>
      <xdr:spPr bwMode="auto">
        <a:xfrm flipV="1">
          <a:off x="8572500" y="1066800"/>
          <a:ext cx="247650" cy="28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6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BE02D1AD-98CF-481F-BBFC-7735E4972E21}"/>
            </a:ext>
          </a:extLst>
        </xdr:cNvPr>
        <xdr:cNvSpPr>
          <a:spLocks noChangeShapeType="1"/>
        </xdr:cNvSpPr>
      </xdr:nvSpPr>
      <xdr:spPr bwMode="auto">
        <a:xfrm flipH="1" flipV="1">
          <a:off x="6267450" y="1066800"/>
          <a:ext cx="0" cy="28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6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C1F56366-9B51-40AF-9F22-D8C9B9454C9B}"/>
            </a:ext>
          </a:extLst>
        </xdr:cNvPr>
        <xdr:cNvSpPr>
          <a:spLocks noChangeShapeType="1"/>
        </xdr:cNvSpPr>
      </xdr:nvSpPr>
      <xdr:spPr bwMode="auto">
        <a:xfrm flipV="1">
          <a:off x="8572500" y="1066800"/>
          <a:ext cx="247650" cy="28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4%20&#1091;&#1083;&#1080;&#1088;&#1072;&#1083;/&#1053;&#1069;&#1043;&#1058;&#1043;&#1069;&#1051;%20&#1041;&#1040;&#1051;&#1040;&#1053;&#1057;%202022.12.31-02,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ur"/>
      <sheetName val="CT1"/>
      <sheetName val="CT2"/>
      <sheetName val="CT3"/>
      <sheetName val="CT4"/>
      <sheetName val="Sheet1"/>
      <sheetName val=" BDSec"/>
      <sheetName val="METF"/>
      <sheetName val="Hot"/>
      <sheetName val="Sheet2"/>
    </sheetNames>
    <sheetDataSet>
      <sheetData sheetId="0"/>
      <sheetData sheetId="1">
        <row r="11">
          <cell r="C11">
            <v>556683956.93999994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A176"/>
  <sheetViews>
    <sheetView zoomScale="75" workbookViewId="0">
      <selection activeCell="A32" sqref="A32:O32"/>
    </sheetView>
  </sheetViews>
  <sheetFormatPr defaultRowHeight="12.75"/>
  <cols>
    <col min="1" max="1" width="4.42578125" style="12" customWidth="1"/>
    <col min="2" max="2" width="8.140625" style="12" customWidth="1"/>
    <col min="3" max="3" width="9.7109375" style="12" customWidth="1"/>
    <col min="4" max="5" width="3.7109375" style="12" customWidth="1"/>
    <col min="6" max="10" width="3.7109375" style="13" customWidth="1"/>
    <col min="11" max="14" width="9.7109375" style="13" customWidth="1"/>
    <col min="15" max="15" width="19.140625" style="13" customWidth="1"/>
    <col min="16" max="16" width="8.28515625" style="13" customWidth="1"/>
    <col min="17" max="17" width="10.7109375" style="13" customWidth="1"/>
    <col min="18" max="18" width="16" style="12" customWidth="1"/>
    <col min="19" max="19" width="10.140625" style="12" bestFit="1" customWidth="1"/>
    <col min="20" max="16384" width="9.140625" style="12"/>
  </cols>
  <sheetData>
    <row r="3" spans="1:16" ht="15" customHeight="1">
      <c r="G3" s="14"/>
      <c r="H3" s="14"/>
      <c r="I3" s="14"/>
      <c r="J3" s="14"/>
      <c r="K3" s="14"/>
      <c r="L3" s="133" t="s">
        <v>202</v>
      </c>
      <c r="M3" s="133"/>
      <c r="N3" s="133"/>
      <c r="O3" s="133"/>
      <c r="P3" s="20"/>
    </row>
    <row r="4" spans="1:16" ht="15" customHeight="1">
      <c r="G4" s="14"/>
      <c r="H4" s="14"/>
      <c r="I4" s="14"/>
      <c r="J4" s="14"/>
      <c r="K4" s="14"/>
      <c r="L4" s="133" t="s">
        <v>203</v>
      </c>
      <c r="M4" s="133"/>
      <c r="N4" s="133"/>
      <c r="O4" s="133"/>
      <c r="P4" s="20"/>
    </row>
    <row r="5" spans="1:16" ht="12" customHeight="1"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2" customHeight="1"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2" customHeight="1"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2" customHeight="1">
      <c r="G8" s="14"/>
      <c r="H8" s="14"/>
      <c r="I8" s="14"/>
      <c r="J8" s="14"/>
      <c r="K8" s="14"/>
      <c r="L8" s="14"/>
      <c r="M8" s="14"/>
      <c r="N8" s="14"/>
      <c r="O8" s="14"/>
      <c r="P8" s="14"/>
    </row>
    <row r="10" spans="1:16" ht="15.75">
      <c r="A10" s="135" t="s">
        <v>105</v>
      </c>
      <c r="B10" s="135"/>
      <c r="C10" s="136"/>
      <c r="D10" s="15">
        <v>2</v>
      </c>
      <c r="E10" s="15">
        <v>0</v>
      </c>
      <c r="F10" s="16">
        <v>5</v>
      </c>
      <c r="G10" s="16">
        <v>2</v>
      </c>
      <c r="H10" s="16">
        <v>4</v>
      </c>
      <c r="I10" s="16">
        <v>8</v>
      </c>
      <c r="J10" s="16">
        <v>2</v>
      </c>
    </row>
    <row r="11" spans="1:16">
      <c r="A11" s="17"/>
      <c r="B11" s="17"/>
      <c r="C11" s="17"/>
    </row>
    <row r="12" spans="1:16">
      <c r="A12" s="137" t="s">
        <v>204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</row>
    <row r="13" spans="1:16">
      <c r="A13" s="137" t="s">
        <v>205</v>
      </c>
      <c r="B13" s="137"/>
      <c r="C13" s="137"/>
      <c r="D13" s="137"/>
      <c r="E13" s="137"/>
      <c r="F13" s="137"/>
      <c r="G13" s="137"/>
      <c r="H13" s="137"/>
      <c r="I13" s="137"/>
      <c r="J13" s="137"/>
    </row>
    <row r="14" spans="1:16">
      <c r="A14" s="137" t="s">
        <v>206</v>
      </c>
      <c r="B14" s="137"/>
      <c r="C14" s="137"/>
      <c r="D14" s="137"/>
      <c r="E14" s="137"/>
      <c r="F14" s="137"/>
      <c r="G14" s="137"/>
      <c r="H14" s="137"/>
      <c r="I14" s="137"/>
      <c r="J14" s="137"/>
    </row>
    <row r="15" spans="1:16">
      <c r="A15" s="137" t="s">
        <v>210</v>
      </c>
      <c r="B15" s="137"/>
      <c r="C15" s="137"/>
      <c r="D15" s="137"/>
      <c r="E15" s="137"/>
      <c r="F15" s="137"/>
      <c r="G15" s="137"/>
      <c r="H15" s="137"/>
      <c r="I15" s="137"/>
      <c r="J15" s="18"/>
      <c r="L15" s="138" t="s">
        <v>207</v>
      </c>
      <c r="M15" s="138"/>
      <c r="N15" s="138"/>
      <c r="O15" s="138"/>
    </row>
    <row r="16" spans="1:16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6">
      <c r="A17" s="17"/>
      <c r="B17" s="17"/>
      <c r="C17" s="17"/>
    </row>
    <row r="18" spans="1:16">
      <c r="A18" s="17"/>
      <c r="B18" s="17"/>
      <c r="C18" s="17"/>
      <c r="D18" s="18"/>
      <c r="E18" s="18"/>
      <c r="F18" s="18"/>
    </row>
    <row r="19" spans="1:16">
      <c r="A19" s="17"/>
      <c r="C19" s="134" t="s">
        <v>117</v>
      </c>
      <c r="D19" s="134"/>
      <c r="E19" s="134"/>
      <c r="F19" s="134"/>
      <c r="G19" s="134"/>
      <c r="H19" s="134"/>
    </row>
    <row r="20" spans="1:16">
      <c r="A20" s="17"/>
      <c r="B20" s="17"/>
      <c r="C20" s="134"/>
      <c r="D20" s="134"/>
      <c r="E20" s="134"/>
      <c r="F20" s="134"/>
      <c r="G20" s="134"/>
      <c r="H20" s="134"/>
    </row>
    <row r="21" spans="1:16">
      <c r="A21" s="17"/>
      <c r="B21" s="17"/>
      <c r="C21" s="134"/>
      <c r="D21" s="134"/>
      <c r="E21" s="134"/>
      <c r="F21" s="134"/>
      <c r="G21" s="134"/>
      <c r="H21" s="134"/>
    </row>
    <row r="22" spans="1:16">
      <c r="A22" s="17"/>
      <c r="B22" s="17"/>
      <c r="C22" s="134"/>
      <c r="D22" s="134"/>
      <c r="E22" s="134"/>
      <c r="F22" s="134"/>
      <c r="G22" s="134"/>
      <c r="H22" s="134"/>
    </row>
    <row r="23" spans="1:16">
      <c r="A23" s="17"/>
      <c r="B23" s="17"/>
      <c r="C23" s="17"/>
    </row>
    <row r="24" spans="1:16">
      <c r="A24" s="17"/>
      <c r="B24" s="17"/>
      <c r="C24" s="17"/>
    </row>
    <row r="25" spans="1:16">
      <c r="A25" s="17"/>
      <c r="B25" s="17"/>
      <c r="C25" s="17"/>
    </row>
    <row r="30" spans="1:16" ht="24.95" customHeight="1">
      <c r="A30" s="129" t="s">
        <v>118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1:16" ht="24.95" customHeight="1">
      <c r="A31" s="129" t="s">
        <v>216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</row>
    <row r="32" spans="1:16" ht="24.95" customHeight="1">
      <c r="A32" s="129" t="s">
        <v>197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21"/>
    </row>
    <row r="33" spans="1:16" ht="24.95" customHeight="1">
      <c r="P33" s="21"/>
    </row>
    <row r="34" spans="1:16" ht="24.95" customHeight="1">
      <c r="P34" s="21"/>
    </row>
    <row r="35" spans="1:16" ht="12" customHeight="1"/>
    <row r="43" spans="1:16" ht="24.95" customHeight="1">
      <c r="A43" s="130" t="s">
        <v>106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1" t="s">
        <v>107</v>
      </c>
      <c r="L43" s="132"/>
      <c r="M43" s="130" t="s">
        <v>108</v>
      </c>
      <c r="N43" s="130"/>
      <c r="O43" s="130"/>
    </row>
    <row r="44" spans="1:16" ht="24.95" customHeight="1">
      <c r="A44" s="126"/>
      <c r="B44" s="127"/>
      <c r="C44" s="127"/>
      <c r="D44" s="127"/>
      <c r="E44" s="127"/>
      <c r="F44" s="127"/>
      <c r="G44" s="127"/>
      <c r="H44" s="127"/>
      <c r="I44" s="127"/>
      <c r="J44" s="128"/>
      <c r="K44" s="123"/>
      <c r="L44" s="124"/>
      <c r="M44" s="125"/>
      <c r="N44" s="125"/>
      <c r="O44" s="125"/>
    </row>
    <row r="45" spans="1:16" ht="24.95" customHeight="1">
      <c r="A45" s="126"/>
      <c r="B45" s="127"/>
      <c r="C45" s="127"/>
      <c r="D45" s="127"/>
      <c r="E45" s="127"/>
      <c r="F45" s="127"/>
      <c r="G45" s="127"/>
      <c r="H45" s="127"/>
      <c r="I45" s="127"/>
      <c r="J45" s="128"/>
      <c r="K45" s="123"/>
      <c r="L45" s="124"/>
      <c r="M45" s="125"/>
      <c r="N45" s="125"/>
      <c r="O45" s="125"/>
    </row>
    <row r="46" spans="1:16" ht="24.95" customHeight="1">
      <c r="A46" s="126"/>
      <c r="B46" s="127"/>
      <c r="C46" s="127"/>
      <c r="D46" s="127"/>
      <c r="E46" s="127"/>
      <c r="F46" s="127"/>
      <c r="G46" s="127"/>
      <c r="H46" s="127"/>
      <c r="I46" s="127"/>
      <c r="J46" s="128"/>
      <c r="K46" s="123"/>
      <c r="L46" s="124"/>
      <c r="M46" s="125"/>
      <c r="N46" s="125"/>
      <c r="O46" s="125"/>
    </row>
    <row r="47" spans="1:16" ht="24.95" customHeight="1">
      <c r="A47" s="126"/>
      <c r="B47" s="127"/>
      <c r="C47" s="127"/>
      <c r="D47" s="127"/>
      <c r="E47" s="127"/>
      <c r="F47" s="127"/>
      <c r="G47" s="127"/>
      <c r="H47" s="127"/>
      <c r="I47" s="127"/>
      <c r="J47" s="128"/>
      <c r="K47" s="123"/>
      <c r="L47" s="124"/>
      <c r="M47" s="125"/>
      <c r="N47" s="125"/>
      <c r="O47" s="125"/>
      <c r="P47" s="12"/>
    </row>
    <row r="48" spans="1:16" ht="20.100000000000001" customHeight="1">
      <c r="P48" s="12"/>
    </row>
    <row r="49" spans="16:16" ht="20.100000000000001" customHeight="1"/>
    <row r="50" spans="16:16" ht="20.100000000000001" customHeight="1">
      <c r="P50" s="19"/>
    </row>
    <row r="51" spans="16:16" ht="20.100000000000001" customHeight="1">
      <c r="P51" s="14"/>
    </row>
    <row r="52" spans="16:16" ht="20.100000000000001" customHeight="1">
      <c r="P52" s="14"/>
    </row>
    <row r="53" spans="16:16" ht="20.100000000000001" customHeight="1">
      <c r="P53" s="14"/>
    </row>
    <row r="54" spans="16:16" ht="20.100000000000001" customHeight="1">
      <c r="P54" s="14"/>
    </row>
    <row r="55" spans="16:16" ht="20.100000000000001" customHeight="1"/>
    <row r="56" spans="16:16" ht="20.100000000000001" customHeight="1"/>
    <row r="57" spans="16:16" ht="20.100000000000001" customHeight="1"/>
    <row r="58" spans="16:16" ht="20.100000000000001" customHeight="1"/>
    <row r="59" spans="16:16" ht="20.100000000000001" customHeight="1"/>
    <row r="60" spans="16:16" ht="20.100000000000001" customHeight="1"/>
    <row r="61" spans="16:16" ht="20.100000000000001" customHeight="1"/>
    <row r="62" spans="16:16" ht="20.100000000000001" customHeight="1"/>
    <row r="75" ht="15" customHeight="1"/>
    <row r="76" ht="15" customHeight="1"/>
    <row r="77" ht="15" customHeight="1"/>
    <row r="78" ht="1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pans="24:27" ht="16.5" customHeight="1"/>
    <row r="130" spans="24:27" ht="16.5" customHeight="1"/>
    <row r="131" spans="24:27" ht="16.5" customHeight="1">
      <c r="X131" s="13"/>
      <c r="Y131" s="13"/>
      <c r="Z131" s="13"/>
      <c r="AA131" s="13"/>
    </row>
    <row r="132" spans="24:27" ht="16.5" customHeight="1">
      <c r="X132" s="13"/>
      <c r="Y132" s="13"/>
      <c r="Z132" s="13"/>
      <c r="AA132" s="13"/>
    </row>
    <row r="133" spans="24:27" ht="16.5" customHeight="1">
      <c r="X133" s="13"/>
      <c r="Y133" s="13"/>
      <c r="Z133" s="13"/>
      <c r="AA133" s="13"/>
    </row>
    <row r="134" spans="24:27" ht="16.5" customHeight="1">
      <c r="X134" s="13"/>
      <c r="Y134" s="13"/>
      <c r="Z134" s="13"/>
      <c r="AA134" s="13"/>
    </row>
    <row r="135" spans="24:27" ht="16.5" customHeight="1">
      <c r="X135" s="13"/>
      <c r="Y135" s="13"/>
      <c r="Z135" s="13"/>
      <c r="AA135" s="13"/>
    </row>
    <row r="136" spans="24:27" ht="16.5" customHeight="1">
      <c r="X136" s="13"/>
      <c r="Y136" s="13"/>
      <c r="Z136" s="13"/>
      <c r="AA136" s="13"/>
    </row>
    <row r="137" spans="24:27" ht="16.5" customHeight="1">
      <c r="X137" s="13"/>
      <c r="Y137" s="13"/>
      <c r="Z137" s="13"/>
      <c r="AA137" s="13"/>
    </row>
    <row r="138" spans="24:27" ht="16.5" customHeight="1">
      <c r="X138" s="13"/>
      <c r="Y138" s="13"/>
      <c r="Z138" s="13"/>
      <c r="AA138" s="13"/>
    </row>
    <row r="139" spans="24:27" ht="16.5" customHeight="1">
      <c r="X139" s="13"/>
      <c r="Y139" s="13"/>
      <c r="Z139" s="13"/>
      <c r="AA139" s="13"/>
    </row>
    <row r="140" spans="24:27" ht="16.5" customHeight="1">
      <c r="X140" s="13"/>
      <c r="Y140" s="13"/>
      <c r="Z140" s="13"/>
      <c r="AA140" s="13"/>
    </row>
    <row r="141" spans="24:27" ht="16.5" customHeight="1"/>
    <row r="142" spans="24:27" ht="16.5" customHeight="1"/>
    <row r="143" spans="24:27" ht="16.5" customHeight="1"/>
    <row r="144" spans="24:27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</sheetData>
  <mergeCells count="27">
    <mergeCell ref="L3:O3"/>
    <mergeCell ref="L4:O4"/>
    <mergeCell ref="A30:O30"/>
    <mergeCell ref="A31:O31"/>
    <mergeCell ref="C19:H22"/>
    <mergeCell ref="A10:C10"/>
    <mergeCell ref="A13:J13"/>
    <mergeCell ref="A14:J14"/>
    <mergeCell ref="A12:L12"/>
    <mergeCell ref="A15:I15"/>
    <mergeCell ref="L15:O15"/>
    <mergeCell ref="A32:O32"/>
    <mergeCell ref="A43:J43"/>
    <mergeCell ref="A44:J44"/>
    <mergeCell ref="A45:J45"/>
    <mergeCell ref="K43:L43"/>
    <mergeCell ref="M43:O43"/>
    <mergeCell ref="K44:L44"/>
    <mergeCell ref="M44:O44"/>
    <mergeCell ref="K45:L45"/>
    <mergeCell ref="M45:O45"/>
    <mergeCell ref="K46:L46"/>
    <mergeCell ref="M46:O46"/>
    <mergeCell ref="A47:J47"/>
    <mergeCell ref="K47:L47"/>
    <mergeCell ref="M47:O47"/>
    <mergeCell ref="A46:J46"/>
  </mergeCells>
  <phoneticPr fontId="0" type="noConversion"/>
  <printOptions horizontalCentered="1"/>
  <pageMargins left="0" right="0" top="0.5" bottom="0.5" header="0" footer="0"/>
  <pageSetup paperSize="9" orientation="portrait" horizont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D4EA-D2CA-475C-97E6-DA96374270C0}">
  <sheetPr>
    <pageSetUpPr fitToPage="1"/>
  </sheetPr>
  <dimension ref="A1:E68"/>
  <sheetViews>
    <sheetView tabSelected="1" topLeftCell="A40" workbookViewId="0">
      <selection activeCell="G68" sqref="G68"/>
    </sheetView>
  </sheetViews>
  <sheetFormatPr defaultRowHeight="15"/>
  <cols>
    <col min="1" max="1" width="9.140625" style="25"/>
    <col min="2" max="2" width="45.5703125" style="25" customWidth="1"/>
    <col min="3" max="3" width="17" style="25" bestFit="1" customWidth="1"/>
    <col min="4" max="4" width="22.5703125" style="25" bestFit="1" customWidth="1"/>
    <col min="5" max="249" width="9.140625" style="25"/>
    <col min="250" max="250" width="45.5703125" style="25" customWidth="1"/>
    <col min="251" max="251" width="18.42578125" style="25" bestFit="1" customWidth="1"/>
    <col min="252" max="256" width="0" style="25" hidden="1" customWidth="1"/>
    <col min="257" max="257" width="22.5703125" style="25" bestFit="1" customWidth="1"/>
    <col min="258" max="505" width="9.140625" style="25"/>
    <col min="506" max="506" width="45.5703125" style="25" customWidth="1"/>
    <col min="507" max="507" width="18.42578125" style="25" bestFit="1" customWidth="1"/>
    <col min="508" max="512" width="0" style="25" hidden="1" customWidth="1"/>
    <col min="513" max="513" width="22.5703125" style="25" bestFit="1" customWidth="1"/>
    <col min="514" max="761" width="9.140625" style="25"/>
    <col min="762" max="762" width="45.5703125" style="25" customWidth="1"/>
    <col min="763" max="763" width="18.42578125" style="25" bestFit="1" customWidth="1"/>
    <col min="764" max="768" width="0" style="25" hidden="1" customWidth="1"/>
    <col min="769" max="769" width="22.5703125" style="25" bestFit="1" customWidth="1"/>
    <col min="770" max="1017" width="9.140625" style="25"/>
    <col min="1018" max="1018" width="45.5703125" style="25" customWidth="1"/>
    <col min="1019" max="1019" width="18.42578125" style="25" bestFit="1" customWidth="1"/>
    <col min="1020" max="1024" width="0" style="25" hidden="1" customWidth="1"/>
    <col min="1025" max="1025" width="22.5703125" style="25" bestFit="1" customWidth="1"/>
    <col min="1026" max="1273" width="9.140625" style="25"/>
    <col min="1274" max="1274" width="45.5703125" style="25" customWidth="1"/>
    <col min="1275" max="1275" width="18.42578125" style="25" bestFit="1" customWidth="1"/>
    <col min="1276" max="1280" width="0" style="25" hidden="1" customWidth="1"/>
    <col min="1281" max="1281" width="22.5703125" style="25" bestFit="1" customWidth="1"/>
    <col min="1282" max="1529" width="9.140625" style="25"/>
    <col min="1530" max="1530" width="45.5703125" style="25" customWidth="1"/>
    <col min="1531" max="1531" width="18.42578125" style="25" bestFit="1" customWidth="1"/>
    <col min="1532" max="1536" width="0" style="25" hidden="1" customWidth="1"/>
    <col min="1537" max="1537" width="22.5703125" style="25" bestFit="1" customWidth="1"/>
    <col min="1538" max="1785" width="9.140625" style="25"/>
    <col min="1786" max="1786" width="45.5703125" style="25" customWidth="1"/>
    <col min="1787" max="1787" width="18.42578125" style="25" bestFit="1" customWidth="1"/>
    <col min="1788" max="1792" width="0" style="25" hidden="1" customWidth="1"/>
    <col min="1793" max="1793" width="22.5703125" style="25" bestFit="1" customWidth="1"/>
    <col min="1794" max="2041" width="9.140625" style="25"/>
    <col min="2042" max="2042" width="45.5703125" style="25" customWidth="1"/>
    <col min="2043" max="2043" width="18.42578125" style="25" bestFit="1" customWidth="1"/>
    <col min="2044" max="2048" width="0" style="25" hidden="1" customWidth="1"/>
    <col min="2049" max="2049" width="22.5703125" style="25" bestFit="1" customWidth="1"/>
    <col min="2050" max="2297" width="9.140625" style="25"/>
    <col min="2298" max="2298" width="45.5703125" style="25" customWidth="1"/>
    <col min="2299" max="2299" width="18.42578125" style="25" bestFit="1" customWidth="1"/>
    <col min="2300" max="2304" width="0" style="25" hidden="1" customWidth="1"/>
    <col min="2305" max="2305" width="22.5703125" style="25" bestFit="1" customWidth="1"/>
    <col min="2306" max="2553" width="9.140625" style="25"/>
    <col min="2554" max="2554" width="45.5703125" style="25" customWidth="1"/>
    <col min="2555" max="2555" width="18.42578125" style="25" bestFit="1" customWidth="1"/>
    <col min="2556" max="2560" width="0" style="25" hidden="1" customWidth="1"/>
    <col min="2561" max="2561" width="22.5703125" style="25" bestFit="1" customWidth="1"/>
    <col min="2562" max="2809" width="9.140625" style="25"/>
    <col min="2810" max="2810" width="45.5703125" style="25" customWidth="1"/>
    <col min="2811" max="2811" width="18.42578125" style="25" bestFit="1" customWidth="1"/>
    <col min="2812" max="2816" width="0" style="25" hidden="1" customWidth="1"/>
    <col min="2817" max="2817" width="22.5703125" style="25" bestFit="1" customWidth="1"/>
    <col min="2818" max="3065" width="9.140625" style="25"/>
    <col min="3066" max="3066" width="45.5703125" style="25" customWidth="1"/>
    <col min="3067" max="3067" width="18.42578125" style="25" bestFit="1" customWidth="1"/>
    <col min="3068" max="3072" width="0" style="25" hidden="1" customWidth="1"/>
    <col min="3073" max="3073" width="22.5703125" style="25" bestFit="1" customWidth="1"/>
    <col min="3074" max="3321" width="9.140625" style="25"/>
    <col min="3322" max="3322" width="45.5703125" style="25" customWidth="1"/>
    <col min="3323" max="3323" width="18.42578125" style="25" bestFit="1" customWidth="1"/>
    <col min="3324" max="3328" width="0" style="25" hidden="1" customWidth="1"/>
    <col min="3329" max="3329" width="22.5703125" style="25" bestFit="1" customWidth="1"/>
    <col min="3330" max="3577" width="9.140625" style="25"/>
    <col min="3578" max="3578" width="45.5703125" style="25" customWidth="1"/>
    <col min="3579" max="3579" width="18.42578125" style="25" bestFit="1" customWidth="1"/>
    <col min="3580" max="3584" width="0" style="25" hidden="1" customWidth="1"/>
    <col min="3585" max="3585" width="22.5703125" style="25" bestFit="1" customWidth="1"/>
    <col min="3586" max="3833" width="9.140625" style="25"/>
    <col min="3834" max="3834" width="45.5703125" style="25" customWidth="1"/>
    <col min="3835" max="3835" width="18.42578125" style="25" bestFit="1" customWidth="1"/>
    <col min="3836" max="3840" width="0" style="25" hidden="1" customWidth="1"/>
    <col min="3841" max="3841" width="22.5703125" style="25" bestFit="1" customWidth="1"/>
    <col min="3842" max="4089" width="9.140625" style="25"/>
    <col min="4090" max="4090" width="45.5703125" style="25" customWidth="1"/>
    <col min="4091" max="4091" width="18.42578125" style="25" bestFit="1" customWidth="1"/>
    <col min="4092" max="4096" width="0" style="25" hidden="1" customWidth="1"/>
    <col min="4097" max="4097" width="22.5703125" style="25" bestFit="1" customWidth="1"/>
    <col min="4098" max="4345" width="9.140625" style="25"/>
    <col min="4346" max="4346" width="45.5703125" style="25" customWidth="1"/>
    <col min="4347" max="4347" width="18.42578125" style="25" bestFit="1" customWidth="1"/>
    <col min="4348" max="4352" width="0" style="25" hidden="1" customWidth="1"/>
    <col min="4353" max="4353" width="22.5703125" style="25" bestFit="1" customWidth="1"/>
    <col min="4354" max="4601" width="9.140625" style="25"/>
    <col min="4602" max="4602" width="45.5703125" style="25" customWidth="1"/>
    <col min="4603" max="4603" width="18.42578125" style="25" bestFit="1" customWidth="1"/>
    <col min="4604" max="4608" width="0" style="25" hidden="1" customWidth="1"/>
    <col min="4609" max="4609" width="22.5703125" style="25" bestFit="1" customWidth="1"/>
    <col min="4610" max="4857" width="9.140625" style="25"/>
    <col min="4858" max="4858" width="45.5703125" style="25" customWidth="1"/>
    <col min="4859" max="4859" width="18.42578125" style="25" bestFit="1" customWidth="1"/>
    <col min="4860" max="4864" width="0" style="25" hidden="1" customWidth="1"/>
    <col min="4865" max="4865" width="22.5703125" style="25" bestFit="1" customWidth="1"/>
    <col min="4866" max="5113" width="9.140625" style="25"/>
    <col min="5114" max="5114" width="45.5703125" style="25" customWidth="1"/>
    <col min="5115" max="5115" width="18.42578125" style="25" bestFit="1" customWidth="1"/>
    <col min="5116" max="5120" width="0" style="25" hidden="1" customWidth="1"/>
    <col min="5121" max="5121" width="22.5703125" style="25" bestFit="1" customWidth="1"/>
    <col min="5122" max="5369" width="9.140625" style="25"/>
    <col min="5370" max="5370" width="45.5703125" style="25" customWidth="1"/>
    <col min="5371" max="5371" width="18.42578125" style="25" bestFit="1" customWidth="1"/>
    <col min="5372" max="5376" width="0" style="25" hidden="1" customWidth="1"/>
    <col min="5377" max="5377" width="22.5703125" style="25" bestFit="1" customWidth="1"/>
    <col min="5378" max="5625" width="9.140625" style="25"/>
    <col min="5626" max="5626" width="45.5703125" style="25" customWidth="1"/>
    <col min="5627" max="5627" width="18.42578125" style="25" bestFit="1" customWidth="1"/>
    <col min="5628" max="5632" width="0" style="25" hidden="1" customWidth="1"/>
    <col min="5633" max="5633" width="22.5703125" style="25" bestFit="1" customWidth="1"/>
    <col min="5634" max="5881" width="9.140625" style="25"/>
    <col min="5882" max="5882" width="45.5703125" style="25" customWidth="1"/>
    <col min="5883" max="5883" width="18.42578125" style="25" bestFit="1" customWidth="1"/>
    <col min="5884" max="5888" width="0" style="25" hidden="1" customWidth="1"/>
    <col min="5889" max="5889" width="22.5703125" style="25" bestFit="1" customWidth="1"/>
    <col min="5890" max="6137" width="9.140625" style="25"/>
    <col min="6138" max="6138" width="45.5703125" style="25" customWidth="1"/>
    <col min="6139" max="6139" width="18.42578125" style="25" bestFit="1" customWidth="1"/>
    <col min="6140" max="6144" width="0" style="25" hidden="1" customWidth="1"/>
    <col min="6145" max="6145" width="22.5703125" style="25" bestFit="1" customWidth="1"/>
    <col min="6146" max="6393" width="9.140625" style="25"/>
    <col min="6394" max="6394" width="45.5703125" style="25" customWidth="1"/>
    <col min="6395" max="6395" width="18.42578125" style="25" bestFit="1" customWidth="1"/>
    <col min="6396" max="6400" width="0" style="25" hidden="1" customWidth="1"/>
    <col min="6401" max="6401" width="22.5703125" style="25" bestFit="1" customWidth="1"/>
    <col min="6402" max="6649" width="9.140625" style="25"/>
    <col min="6650" max="6650" width="45.5703125" style="25" customWidth="1"/>
    <col min="6651" max="6651" width="18.42578125" style="25" bestFit="1" customWidth="1"/>
    <col min="6652" max="6656" width="0" style="25" hidden="1" customWidth="1"/>
    <col min="6657" max="6657" width="22.5703125" style="25" bestFit="1" customWidth="1"/>
    <col min="6658" max="6905" width="9.140625" style="25"/>
    <col min="6906" max="6906" width="45.5703125" style="25" customWidth="1"/>
    <col min="6907" max="6907" width="18.42578125" style="25" bestFit="1" customWidth="1"/>
    <col min="6908" max="6912" width="0" style="25" hidden="1" customWidth="1"/>
    <col min="6913" max="6913" width="22.5703125" style="25" bestFit="1" customWidth="1"/>
    <col min="6914" max="7161" width="9.140625" style="25"/>
    <col min="7162" max="7162" width="45.5703125" style="25" customWidth="1"/>
    <col min="7163" max="7163" width="18.42578125" style="25" bestFit="1" customWidth="1"/>
    <col min="7164" max="7168" width="0" style="25" hidden="1" customWidth="1"/>
    <col min="7169" max="7169" width="22.5703125" style="25" bestFit="1" customWidth="1"/>
    <col min="7170" max="7417" width="9.140625" style="25"/>
    <col min="7418" max="7418" width="45.5703125" style="25" customWidth="1"/>
    <col min="7419" max="7419" width="18.42578125" style="25" bestFit="1" customWidth="1"/>
    <col min="7420" max="7424" width="0" style="25" hidden="1" customWidth="1"/>
    <col min="7425" max="7425" width="22.5703125" style="25" bestFit="1" customWidth="1"/>
    <col min="7426" max="7673" width="9.140625" style="25"/>
    <col min="7674" max="7674" width="45.5703125" style="25" customWidth="1"/>
    <col min="7675" max="7675" width="18.42578125" style="25" bestFit="1" customWidth="1"/>
    <col min="7676" max="7680" width="0" style="25" hidden="1" customWidth="1"/>
    <col min="7681" max="7681" width="22.5703125" style="25" bestFit="1" customWidth="1"/>
    <col min="7682" max="7929" width="9.140625" style="25"/>
    <col min="7930" max="7930" width="45.5703125" style="25" customWidth="1"/>
    <col min="7931" max="7931" width="18.42578125" style="25" bestFit="1" customWidth="1"/>
    <col min="7932" max="7936" width="0" style="25" hidden="1" customWidth="1"/>
    <col min="7937" max="7937" width="22.5703125" style="25" bestFit="1" customWidth="1"/>
    <col min="7938" max="8185" width="9.140625" style="25"/>
    <col min="8186" max="8186" width="45.5703125" style="25" customWidth="1"/>
    <col min="8187" max="8187" width="18.42578125" style="25" bestFit="1" customWidth="1"/>
    <col min="8188" max="8192" width="0" style="25" hidden="1" customWidth="1"/>
    <col min="8193" max="8193" width="22.5703125" style="25" bestFit="1" customWidth="1"/>
    <col min="8194" max="8441" width="9.140625" style="25"/>
    <col min="8442" max="8442" width="45.5703125" style="25" customWidth="1"/>
    <col min="8443" max="8443" width="18.42578125" style="25" bestFit="1" customWidth="1"/>
    <col min="8444" max="8448" width="0" style="25" hidden="1" customWidth="1"/>
    <col min="8449" max="8449" width="22.5703125" style="25" bestFit="1" customWidth="1"/>
    <col min="8450" max="8697" width="9.140625" style="25"/>
    <col min="8698" max="8698" width="45.5703125" style="25" customWidth="1"/>
    <col min="8699" max="8699" width="18.42578125" style="25" bestFit="1" customWidth="1"/>
    <col min="8700" max="8704" width="0" style="25" hidden="1" customWidth="1"/>
    <col min="8705" max="8705" width="22.5703125" style="25" bestFit="1" customWidth="1"/>
    <col min="8706" max="8953" width="9.140625" style="25"/>
    <col min="8954" max="8954" width="45.5703125" style="25" customWidth="1"/>
    <col min="8955" max="8955" width="18.42578125" style="25" bestFit="1" customWidth="1"/>
    <col min="8956" max="8960" width="0" style="25" hidden="1" customWidth="1"/>
    <col min="8961" max="8961" width="22.5703125" style="25" bestFit="1" customWidth="1"/>
    <col min="8962" max="9209" width="9.140625" style="25"/>
    <col min="9210" max="9210" width="45.5703125" style="25" customWidth="1"/>
    <col min="9211" max="9211" width="18.42578125" style="25" bestFit="1" customWidth="1"/>
    <col min="9212" max="9216" width="0" style="25" hidden="1" customWidth="1"/>
    <col min="9217" max="9217" width="22.5703125" style="25" bestFit="1" customWidth="1"/>
    <col min="9218" max="9465" width="9.140625" style="25"/>
    <col min="9466" max="9466" width="45.5703125" style="25" customWidth="1"/>
    <col min="9467" max="9467" width="18.42578125" style="25" bestFit="1" customWidth="1"/>
    <col min="9468" max="9472" width="0" style="25" hidden="1" customWidth="1"/>
    <col min="9473" max="9473" width="22.5703125" style="25" bestFit="1" customWidth="1"/>
    <col min="9474" max="9721" width="9.140625" style="25"/>
    <col min="9722" max="9722" width="45.5703125" style="25" customWidth="1"/>
    <col min="9723" max="9723" width="18.42578125" style="25" bestFit="1" customWidth="1"/>
    <col min="9724" max="9728" width="0" style="25" hidden="1" customWidth="1"/>
    <col min="9729" max="9729" width="22.5703125" style="25" bestFit="1" customWidth="1"/>
    <col min="9730" max="9977" width="9.140625" style="25"/>
    <col min="9978" max="9978" width="45.5703125" style="25" customWidth="1"/>
    <col min="9979" max="9979" width="18.42578125" style="25" bestFit="1" customWidth="1"/>
    <col min="9980" max="9984" width="0" style="25" hidden="1" customWidth="1"/>
    <col min="9985" max="9985" width="22.5703125" style="25" bestFit="1" customWidth="1"/>
    <col min="9986" max="10233" width="9.140625" style="25"/>
    <col min="10234" max="10234" width="45.5703125" style="25" customWidth="1"/>
    <col min="10235" max="10235" width="18.42578125" style="25" bestFit="1" customWidth="1"/>
    <col min="10236" max="10240" width="0" style="25" hidden="1" customWidth="1"/>
    <col min="10241" max="10241" width="22.5703125" style="25" bestFit="1" customWidth="1"/>
    <col min="10242" max="10489" width="9.140625" style="25"/>
    <col min="10490" max="10490" width="45.5703125" style="25" customWidth="1"/>
    <col min="10491" max="10491" width="18.42578125" style="25" bestFit="1" customWidth="1"/>
    <col min="10492" max="10496" width="0" style="25" hidden="1" customWidth="1"/>
    <col min="10497" max="10497" width="22.5703125" style="25" bestFit="1" customWidth="1"/>
    <col min="10498" max="10745" width="9.140625" style="25"/>
    <col min="10746" max="10746" width="45.5703125" style="25" customWidth="1"/>
    <col min="10747" max="10747" width="18.42578125" style="25" bestFit="1" customWidth="1"/>
    <col min="10748" max="10752" width="0" style="25" hidden="1" customWidth="1"/>
    <col min="10753" max="10753" width="22.5703125" style="25" bestFit="1" customWidth="1"/>
    <col min="10754" max="11001" width="9.140625" style="25"/>
    <col min="11002" max="11002" width="45.5703125" style="25" customWidth="1"/>
    <col min="11003" max="11003" width="18.42578125" style="25" bestFit="1" customWidth="1"/>
    <col min="11004" max="11008" width="0" style="25" hidden="1" customWidth="1"/>
    <col min="11009" max="11009" width="22.5703125" style="25" bestFit="1" customWidth="1"/>
    <col min="11010" max="11257" width="9.140625" style="25"/>
    <col min="11258" max="11258" width="45.5703125" style="25" customWidth="1"/>
    <col min="11259" max="11259" width="18.42578125" style="25" bestFit="1" customWidth="1"/>
    <col min="11260" max="11264" width="0" style="25" hidden="1" customWidth="1"/>
    <col min="11265" max="11265" width="22.5703125" style="25" bestFit="1" customWidth="1"/>
    <col min="11266" max="11513" width="9.140625" style="25"/>
    <col min="11514" max="11514" width="45.5703125" style="25" customWidth="1"/>
    <col min="11515" max="11515" width="18.42578125" style="25" bestFit="1" customWidth="1"/>
    <col min="11516" max="11520" width="0" style="25" hidden="1" customWidth="1"/>
    <col min="11521" max="11521" width="22.5703125" style="25" bestFit="1" customWidth="1"/>
    <col min="11522" max="11769" width="9.140625" style="25"/>
    <col min="11770" max="11770" width="45.5703125" style="25" customWidth="1"/>
    <col min="11771" max="11771" width="18.42578125" style="25" bestFit="1" customWidth="1"/>
    <col min="11772" max="11776" width="0" style="25" hidden="1" customWidth="1"/>
    <col min="11777" max="11777" width="22.5703125" style="25" bestFit="1" customWidth="1"/>
    <col min="11778" max="12025" width="9.140625" style="25"/>
    <col min="12026" max="12026" width="45.5703125" style="25" customWidth="1"/>
    <col min="12027" max="12027" width="18.42578125" style="25" bestFit="1" customWidth="1"/>
    <col min="12028" max="12032" width="0" style="25" hidden="1" customWidth="1"/>
    <col min="12033" max="12033" width="22.5703125" style="25" bestFit="1" customWidth="1"/>
    <col min="12034" max="12281" width="9.140625" style="25"/>
    <col min="12282" max="12282" width="45.5703125" style="25" customWidth="1"/>
    <col min="12283" max="12283" width="18.42578125" style="25" bestFit="1" customWidth="1"/>
    <col min="12284" max="12288" width="0" style="25" hidden="1" customWidth="1"/>
    <col min="12289" max="12289" width="22.5703125" style="25" bestFit="1" customWidth="1"/>
    <col min="12290" max="12537" width="9.140625" style="25"/>
    <col min="12538" max="12538" width="45.5703125" style="25" customWidth="1"/>
    <col min="12539" max="12539" width="18.42578125" style="25" bestFit="1" customWidth="1"/>
    <col min="12540" max="12544" width="0" style="25" hidden="1" customWidth="1"/>
    <col min="12545" max="12545" width="22.5703125" style="25" bestFit="1" customWidth="1"/>
    <col min="12546" max="12793" width="9.140625" style="25"/>
    <col min="12794" max="12794" width="45.5703125" style="25" customWidth="1"/>
    <col min="12795" max="12795" width="18.42578125" style="25" bestFit="1" customWidth="1"/>
    <col min="12796" max="12800" width="0" style="25" hidden="1" customWidth="1"/>
    <col min="12801" max="12801" width="22.5703125" style="25" bestFit="1" customWidth="1"/>
    <col min="12802" max="13049" width="9.140625" style="25"/>
    <col min="13050" max="13050" width="45.5703125" style="25" customWidth="1"/>
    <col min="13051" max="13051" width="18.42578125" style="25" bestFit="1" customWidth="1"/>
    <col min="13052" max="13056" width="0" style="25" hidden="1" customWidth="1"/>
    <col min="13057" max="13057" width="22.5703125" style="25" bestFit="1" customWidth="1"/>
    <col min="13058" max="13305" width="9.140625" style="25"/>
    <col min="13306" max="13306" width="45.5703125" style="25" customWidth="1"/>
    <col min="13307" max="13307" width="18.42578125" style="25" bestFit="1" customWidth="1"/>
    <col min="13308" max="13312" width="0" style="25" hidden="1" customWidth="1"/>
    <col min="13313" max="13313" width="22.5703125" style="25" bestFit="1" customWidth="1"/>
    <col min="13314" max="13561" width="9.140625" style="25"/>
    <col min="13562" max="13562" width="45.5703125" style="25" customWidth="1"/>
    <col min="13563" max="13563" width="18.42578125" style="25" bestFit="1" customWidth="1"/>
    <col min="13564" max="13568" width="0" style="25" hidden="1" customWidth="1"/>
    <col min="13569" max="13569" width="22.5703125" style="25" bestFit="1" customWidth="1"/>
    <col min="13570" max="13817" width="9.140625" style="25"/>
    <col min="13818" max="13818" width="45.5703125" style="25" customWidth="1"/>
    <col min="13819" max="13819" width="18.42578125" style="25" bestFit="1" customWidth="1"/>
    <col min="13820" max="13824" width="0" style="25" hidden="1" customWidth="1"/>
    <col min="13825" max="13825" width="22.5703125" style="25" bestFit="1" customWidth="1"/>
    <col min="13826" max="14073" width="9.140625" style="25"/>
    <col min="14074" max="14074" width="45.5703125" style="25" customWidth="1"/>
    <col min="14075" max="14075" width="18.42578125" style="25" bestFit="1" customWidth="1"/>
    <col min="14076" max="14080" width="0" style="25" hidden="1" customWidth="1"/>
    <col min="14081" max="14081" width="22.5703125" style="25" bestFit="1" customWidth="1"/>
    <col min="14082" max="14329" width="9.140625" style="25"/>
    <col min="14330" max="14330" width="45.5703125" style="25" customWidth="1"/>
    <col min="14331" max="14331" width="18.42578125" style="25" bestFit="1" customWidth="1"/>
    <col min="14332" max="14336" width="0" style="25" hidden="1" customWidth="1"/>
    <col min="14337" max="14337" width="22.5703125" style="25" bestFit="1" customWidth="1"/>
    <col min="14338" max="14585" width="9.140625" style="25"/>
    <col min="14586" max="14586" width="45.5703125" style="25" customWidth="1"/>
    <col min="14587" max="14587" width="18.42578125" style="25" bestFit="1" customWidth="1"/>
    <col min="14588" max="14592" width="0" style="25" hidden="1" customWidth="1"/>
    <col min="14593" max="14593" width="22.5703125" style="25" bestFit="1" customWidth="1"/>
    <col min="14594" max="14841" width="9.140625" style="25"/>
    <col min="14842" max="14842" width="45.5703125" style="25" customWidth="1"/>
    <col min="14843" max="14843" width="18.42578125" style="25" bestFit="1" customWidth="1"/>
    <col min="14844" max="14848" width="0" style="25" hidden="1" customWidth="1"/>
    <col min="14849" max="14849" width="22.5703125" style="25" bestFit="1" customWidth="1"/>
    <col min="14850" max="15097" width="9.140625" style="25"/>
    <col min="15098" max="15098" width="45.5703125" style="25" customWidth="1"/>
    <col min="15099" max="15099" width="18.42578125" style="25" bestFit="1" customWidth="1"/>
    <col min="15100" max="15104" width="0" style="25" hidden="1" customWidth="1"/>
    <col min="15105" max="15105" width="22.5703125" style="25" bestFit="1" customWidth="1"/>
    <col min="15106" max="15353" width="9.140625" style="25"/>
    <col min="15354" max="15354" width="45.5703125" style="25" customWidth="1"/>
    <col min="15355" max="15355" width="18.42578125" style="25" bestFit="1" customWidth="1"/>
    <col min="15356" max="15360" width="0" style="25" hidden="1" customWidth="1"/>
    <col min="15361" max="15361" width="22.5703125" style="25" bestFit="1" customWidth="1"/>
    <col min="15362" max="15609" width="9.140625" style="25"/>
    <col min="15610" max="15610" width="45.5703125" style="25" customWidth="1"/>
    <col min="15611" max="15611" width="18.42578125" style="25" bestFit="1" customWidth="1"/>
    <col min="15612" max="15616" width="0" style="25" hidden="1" customWidth="1"/>
    <col min="15617" max="15617" width="22.5703125" style="25" bestFit="1" customWidth="1"/>
    <col min="15618" max="15865" width="9.140625" style="25"/>
    <col min="15866" max="15866" width="45.5703125" style="25" customWidth="1"/>
    <col min="15867" max="15867" width="18.42578125" style="25" bestFit="1" customWidth="1"/>
    <col min="15868" max="15872" width="0" style="25" hidden="1" customWidth="1"/>
    <col min="15873" max="15873" width="22.5703125" style="25" bestFit="1" customWidth="1"/>
    <col min="15874" max="16121" width="9.140625" style="25"/>
    <col min="16122" max="16122" width="45.5703125" style="25" customWidth="1"/>
    <col min="16123" max="16123" width="18.42578125" style="25" bestFit="1" customWidth="1"/>
    <col min="16124" max="16128" width="0" style="25" hidden="1" customWidth="1"/>
    <col min="16129" max="16129" width="22.5703125" style="25" bestFit="1" customWidth="1"/>
    <col min="16130" max="16384" width="9.140625" style="25"/>
  </cols>
  <sheetData>
    <row r="1" spans="1:5">
      <c r="A1" s="75"/>
      <c r="B1" s="75"/>
      <c r="C1" s="75"/>
    </row>
    <row r="2" spans="1:5" s="76" customFormat="1" ht="14.25">
      <c r="A2" s="167" t="s">
        <v>102</v>
      </c>
      <c r="B2" s="167"/>
      <c r="C2" s="167"/>
      <c r="D2" s="167"/>
      <c r="E2" s="167"/>
    </row>
    <row r="3" spans="1:5" s="76" customFormat="1" ht="14.25">
      <c r="A3" s="77"/>
      <c r="B3" s="77"/>
      <c r="C3" s="77"/>
      <c r="D3" s="77"/>
      <c r="E3" s="78"/>
    </row>
    <row r="4" spans="1:5" s="76" customFormat="1">
      <c r="A4" s="162"/>
      <c r="B4" s="162"/>
      <c r="C4" s="162"/>
      <c r="D4" s="46">
        <v>44926</v>
      </c>
      <c r="E4" s="46"/>
    </row>
    <row r="5" spans="1:5" s="76" customFormat="1" ht="14.25">
      <c r="A5" s="1"/>
      <c r="B5" s="79"/>
      <c r="C5" s="79"/>
      <c r="D5" s="79"/>
      <c r="E5" s="78"/>
    </row>
    <row r="6" spans="1:5" s="76" customFormat="1">
      <c r="A6" s="1"/>
      <c r="B6" s="79"/>
      <c r="C6" s="79"/>
      <c r="D6" s="10" t="s">
        <v>97</v>
      </c>
    </row>
    <row r="7" spans="1:5" s="65" customFormat="1" ht="14.25">
      <c r="A7" s="142" t="s">
        <v>54</v>
      </c>
      <c r="B7" s="163" t="s">
        <v>55</v>
      </c>
      <c r="C7" s="163" t="s">
        <v>110</v>
      </c>
      <c r="D7" s="160" t="s">
        <v>217</v>
      </c>
    </row>
    <row r="8" spans="1:5" s="65" customFormat="1" ht="14.25">
      <c r="A8" s="142"/>
      <c r="B8" s="164"/>
      <c r="C8" s="164"/>
      <c r="D8" s="161"/>
    </row>
    <row r="9" spans="1:5">
      <c r="A9" s="80">
        <v>1</v>
      </c>
      <c r="B9" s="81" t="s">
        <v>149</v>
      </c>
      <c r="C9" s="81"/>
      <c r="D9" s="3"/>
    </row>
    <row r="10" spans="1:5" s="65" customFormat="1">
      <c r="A10" s="80" t="s">
        <v>134</v>
      </c>
      <c r="B10" s="103" t="s">
        <v>103</v>
      </c>
      <c r="C10" s="82">
        <f t="shared" ref="C10:D10" si="0">SUM(C11:C14)</f>
        <v>2659637710.5599999</v>
      </c>
      <c r="D10" s="108">
        <f t="shared" si="0"/>
        <v>3659612946.5500002</v>
      </c>
    </row>
    <row r="11" spans="1:5">
      <c r="A11" s="83" t="s">
        <v>0</v>
      </c>
      <c r="B11" s="52" t="s">
        <v>152</v>
      </c>
      <c r="C11" s="52">
        <v>2655314118.4299998</v>
      </c>
      <c r="D11" s="106">
        <v>3659015210.5100002</v>
      </c>
    </row>
    <row r="12" spans="1:5">
      <c r="A12" s="83" t="s">
        <v>1</v>
      </c>
      <c r="B12" s="52" t="s">
        <v>150</v>
      </c>
      <c r="C12" s="52">
        <v>1664935.86</v>
      </c>
      <c r="D12" s="106"/>
    </row>
    <row r="13" spans="1:5">
      <c r="A13" s="83" t="s">
        <v>2</v>
      </c>
      <c r="B13" s="52" t="s">
        <v>153</v>
      </c>
      <c r="C13" s="52">
        <v>1783200</v>
      </c>
      <c r="D13" s="106"/>
    </row>
    <row r="14" spans="1:5">
      <c r="A14" s="83" t="s">
        <v>3</v>
      </c>
      <c r="B14" s="52" t="s">
        <v>151</v>
      </c>
      <c r="C14" s="52">
        <v>875456.27</v>
      </c>
      <c r="D14" s="106">
        <v>597736.04</v>
      </c>
    </row>
    <row r="15" spans="1:5" s="65" customFormat="1">
      <c r="A15" s="80">
        <v>1.2</v>
      </c>
      <c r="B15" s="103" t="s">
        <v>104</v>
      </c>
      <c r="C15" s="85">
        <f>SUM(C16:C24)</f>
        <v>1334217266.1699991</v>
      </c>
      <c r="D15" s="109">
        <f>SUM(D16:D24)</f>
        <v>-10678919535.02</v>
      </c>
    </row>
    <row r="16" spans="1:5">
      <c r="A16" s="83" t="s">
        <v>9</v>
      </c>
      <c r="B16" s="52" t="s">
        <v>154</v>
      </c>
      <c r="C16" s="52">
        <v>569742839.56999993</v>
      </c>
      <c r="D16" s="106">
        <v>895380935.38</v>
      </c>
    </row>
    <row r="17" spans="1:4">
      <c r="A17" s="83" t="s">
        <v>10</v>
      </c>
      <c r="B17" s="52" t="s">
        <v>198</v>
      </c>
      <c r="C17" s="52">
        <v>153425107.90000001</v>
      </c>
      <c r="D17" s="106">
        <v>233954081.53999999</v>
      </c>
    </row>
    <row r="18" spans="1:4">
      <c r="A18" s="83" t="s">
        <v>11</v>
      </c>
      <c r="B18" s="86" t="s">
        <v>155</v>
      </c>
      <c r="C18" s="52">
        <v>-4359167712.5</v>
      </c>
      <c r="D18" s="106">
        <v>-13530701941.309999</v>
      </c>
    </row>
    <row r="19" spans="1:4">
      <c r="A19" s="83" t="s">
        <v>12</v>
      </c>
      <c r="B19" s="87" t="s">
        <v>156</v>
      </c>
      <c r="C19" s="52">
        <v>88163370.480000004</v>
      </c>
      <c r="D19" s="106">
        <v>100987985.97</v>
      </c>
    </row>
    <row r="20" spans="1:4">
      <c r="A20" s="83" t="s">
        <v>13</v>
      </c>
      <c r="B20" s="88" t="s">
        <v>157</v>
      </c>
      <c r="C20" s="52">
        <v>8291900.8200000003</v>
      </c>
      <c r="D20" s="106">
        <v>4204061</v>
      </c>
    </row>
    <row r="21" spans="1:4">
      <c r="A21" s="83" t="s">
        <v>14</v>
      </c>
      <c r="B21" s="52" t="s">
        <v>158</v>
      </c>
      <c r="C21" s="52">
        <v>402392401.47000003</v>
      </c>
      <c r="D21" s="106">
        <v>747394340.51999998</v>
      </c>
    </row>
    <row r="22" spans="1:4">
      <c r="A22" s="83" t="s">
        <v>15</v>
      </c>
      <c r="B22" s="52" t="s">
        <v>159</v>
      </c>
      <c r="C22" s="52">
        <v>85285296.239999995</v>
      </c>
      <c r="D22" s="106">
        <v>220555911.58000001</v>
      </c>
    </row>
    <row r="23" spans="1:4">
      <c r="A23" s="83" t="s">
        <v>16</v>
      </c>
      <c r="B23" s="52" t="s">
        <v>160</v>
      </c>
      <c r="C23" s="52">
        <v>1902790</v>
      </c>
      <c r="D23" s="106">
        <v>2151890</v>
      </c>
    </row>
    <row r="24" spans="1:4">
      <c r="A24" s="83" t="s">
        <v>17</v>
      </c>
      <c r="B24" s="52" t="s">
        <v>199</v>
      </c>
      <c r="C24" s="52">
        <v>4384181272.1899996</v>
      </c>
      <c r="D24" s="106">
        <v>647153200.29999995</v>
      </c>
    </row>
    <row r="25" spans="1:4" s="65" customFormat="1" ht="14.25">
      <c r="A25" s="80"/>
      <c r="B25" s="89" t="s">
        <v>176</v>
      </c>
      <c r="C25" s="82">
        <f>+C10-C15</f>
        <v>1325420444.3900008</v>
      </c>
      <c r="D25" s="108">
        <f>+D10-D15</f>
        <v>14338532481.57</v>
      </c>
    </row>
    <row r="26" spans="1:4" s="65" customFormat="1">
      <c r="A26" s="80">
        <v>2.1</v>
      </c>
      <c r="B26" s="103" t="s">
        <v>103</v>
      </c>
      <c r="C26" s="82">
        <f>SUM(C27:C29)</f>
        <v>7921637716.3199997</v>
      </c>
      <c r="D26" s="108">
        <f>SUM(D27:D30)</f>
        <v>4420145106.1000004</v>
      </c>
    </row>
    <row r="27" spans="1:4">
      <c r="A27" s="83" t="s">
        <v>135</v>
      </c>
      <c r="B27" s="52" t="s">
        <v>161</v>
      </c>
      <c r="C27" s="52">
        <v>7921576935.5699997</v>
      </c>
      <c r="D27" s="106">
        <v>4410445106.1000004</v>
      </c>
    </row>
    <row r="28" spans="1:4">
      <c r="A28" s="83" t="s">
        <v>136</v>
      </c>
      <c r="B28" s="52" t="s">
        <v>162</v>
      </c>
      <c r="C28" s="52">
        <v>0</v>
      </c>
      <c r="D28" s="106"/>
    </row>
    <row r="29" spans="1:4">
      <c r="A29" s="83" t="s">
        <v>137</v>
      </c>
      <c r="B29" s="52" t="s">
        <v>163</v>
      </c>
      <c r="C29" s="52">
        <v>60780.75</v>
      </c>
      <c r="D29" s="106"/>
    </row>
    <row r="30" spans="1:4">
      <c r="A30" s="83" t="s">
        <v>218</v>
      </c>
      <c r="B30" s="107" t="s">
        <v>219</v>
      </c>
      <c r="C30" s="52"/>
      <c r="D30" s="106">
        <v>9700000</v>
      </c>
    </row>
    <row r="31" spans="1:4" s="65" customFormat="1">
      <c r="A31" s="80">
        <v>2.2000000000000002</v>
      </c>
      <c r="B31" s="103" t="s">
        <v>104</v>
      </c>
      <c r="C31" s="82">
        <f>SUM(C32:C35)</f>
        <v>1442195311.1900001</v>
      </c>
      <c r="D31" s="108">
        <f>SUM(D32:D35)</f>
        <v>16932582619</v>
      </c>
    </row>
    <row r="32" spans="1:4">
      <c r="A32" s="83" t="s">
        <v>138</v>
      </c>
      <c r="B32" s="52" t="s">
        <v>164</v>
      </c>
      <c r="C32" s="52">
        <v>29645356</v>
      </c>
      <c r="D32" s="106">
        <v>48286049</v>
      </c>
    </row>
    <row r="33" spans="1:4">
      <c r="A33" s="83" t="s">
        <v>41</v>
      </c>
      <c r="B33" s="52" t="s">
        <v>165</v>
      </c>
      <c r="C33" s="52">
        <v>-30080076</v>
      </c>
      <c r="D33" s="106">
        <v>16848897834.75</v>
      </c>
    </row>
    <row r="34" spans="1:4">
      <c r="A34" s="83" t="s">
        <v>139</v>
      </c>
      <c r="B34" s="52" t="s">
        <v>166</v>
      </c>
      <c r="C34" s="52">
        <v>1442630031.1900001</v>
      </c>
      <c r="D34" s="106">
        <v>35398735.25</v>
      </c>
    </row>
    <row r="35" spans="1:4">
      <c r="A35" s="83" t="s">
        <v>140</v>
      </c>
      <c r="B35" s="52" t="s">
        <v>167</v>
      </c>
      <c r="C35" s="52">
        <v>0</v>
      </c>
      <c r="D35" s="106">
        <v>0</v>
      </c>
    </row>
    <row r="36" spans="1:4" s="65" customFormat="1" ht="14.25">
      <c r="A36" s="80">
        <v>2.2000000000000002</v>
      </c>
      <c r="B36" s="89" t="s">
        <v>175</v>
      </c>
      <c r="C36" s="82">
        <f>+C26-C31</f>
        <v>6479442405.1299992</v>
      </c>
      <c r="D36" s="108">
        <f>+D26-D31</f>
        <v>-12512437512.9</v>
      </c>
    </row>
    <row r="37" spans="1:4" s="65" customFormat="1">
      <c r="A37" s="80">
        <v>3.1</v>
      </c>
      <c r="B37" s="103" t="s">
        <v>103</v>
      </c>
      <c r="C37" s="82">
        <f>SUM(C38:C40)</f>
        <v>35726647565.739998</v>
      </c>
      <c r="D37" s="108">
        <f>SUM(D38:D40)</f>
        <v>25842856386.889999</v>
      </c>
    </row>
    <row r="38" spans="1:4">
      <c r="A38" s="83" t="s">
        <v>141</v>
      </c>
      <c r="B38" s="52" t="s">
        <v>168</v>
      </c>
      <c r="C38" s="52">
        <v>35649930674.400002</v>
      </c>
      <c r="D38" s="106">
        <v>25817417673.77</v>
      </c>
    </row>
    <row r="39" spans="1:4">
      <c r="A39" s="83" t="s">
        <v>142</v>
      </c>
      <c r="B39" s="52" t="s">
        <v>169</v>
      </c>
      <c r="C39" s="52">
        <v>-6000000</v>
      </c>
      <c r="D39" s="106">
        <v>-1800000</v>
      </c>
    </row>
    <row r="40" spans="1:4">
      <c r="A40" s="83" t="s">
        <v>143</v>
      </c>
      <c r="B40" s="52" t="s">
        <v>200</v>
      </c>
      <c r="C40" s="52">
        <v>82716891.340000004</v>
      </c>
      <c r="D40" s="106">
        <v>27238713.120000001</v>
      </c>
    </row>
    <row r="41" spans="1:4" s="65" customFormat="1">
      <c r="A41" s="80">
        <v>3.2</v>
      </c>
      <c r="B41" s="103" t="s">
        <v>104</v>
      </c>
      <c r="C41" s="82">
        <f t="shared" ref="C41:D41" si="1">SUM(C42:C46)</f>
        <v>42314108586.510002</v>
      </c>
      <c r="D41" s="108">
        <f t="shared" si="1"/>
        <v>26781775967.049999</v>
      </c>
    </row>
    <row r="42" spans="1:4" s="65" customFormat="1">
      <c r="A42" s="83" t="s">
        <v>144</v>
      </c>
      <c r="B42" s="52" t="s">
        <v>170</v>
      </c>
      <c r="C42" s="52">
        <v>11793805296.860001</v>
      </c>
      <c r="D42" s="106">
        <v>11185249067.049999</v>
      </c>
    </row>
    <row r="43" spans="1:4" s="65" customFormat="1">
      <c r="A43" s="83" t="s">
        <v>145</v>
      </c>
      <c r="B43" s="91" t="s">
        <v>171</v>
      </c>
      <c r="C43" s="52">
        <v>0</v>
      </c>
      <c r="D43" s="106">
        <v>0</v>
      </c>
    </row>
    <row r="44" spans="1:4" s="65" customFormat="1">
      <c r="A44" s="83" t="s">
        <v>146</v>
      </c>
      <c r="B44" s="92" t="s">
        <v>180</v>
      </c>
      <c r="C44" s="52">
        <v>30437466233.75</v>
      </c>
      <c r="D44" s="106">
        <v>14992554000</v>
      </c>
    </row>
    <row r="45" spans="1:4" s="65" customFormat="1">
      <c r="A45" s="83" t="s">
        <v>147</v>
      </c>
      <c r="B45" s="91" t="s">
        <v>172</v>
      </c>
      <c r="C45" s="52">
        <v>0</v>
      </c>
      <c r="D45" s="106">
        <v>597216700</v>
      </c>
    </row>
    <row r="46" spans="1:4" s="65" customFormat="1">
      <c r="A46" s="83" t="s">
        <v>148</v>
      </c>
      <c r="B46" s="91" t="s">
        <v>173</v>
      </c>
      <c r="C46" s="52">
        <v>82837055.900000006</v>
      </c>
      <c r="D46" s="106">
        <v>6756200</v>
      </c>
    </row>
    <row r="47" spans="1:4" s="65" customFormat="1" ht="14.25">
      <c r="A47" s="80"/>
      <c r="B47" s="89" t="s">
        <v>174</v>
      </c>
      <c r="C47" s="82">
        <f>+C37-C41</f>
        <v>-6587461020.7700043</v>
      </c>
      <c r="D47" s="82">
        <f>+D37-D41</f>
        <v>-938919580.15999985</v>
      </c>
    </row>
    <row r="48" spans="1:4" s="65" customFormat="1">
      <c r="A48" s="80">
        <v>4</v>
      </c>
      <c r="B48" s="52" t="s">
        <v>177</v>
      </c>
      <c r="C48" s="82"/>
      <c r="D48" s="82">
        <v>24717.22</v>
      </c>
    </row>
    <row r="49" spans="1:4" s="65" customFormat="1" ht="14.25">
      <c r="A49" s="80">
        <v>5</v>
      </c>
      <c r="B49" s="94" t="s">
        <v>178</v>
      </c>
      <c r="C49" s="82">
        <f>+C25+C36+C47+C48</f>
        <v>1217401828.7499962</v>
      </c>
      <c r="D49" s="82">
        <f>+D25+D36+D47+D48</f>
        <v>887200105.73000026</v>
      </c>
    </row>
    <row r="50" spans="1:4">
      <c r="A50" s="83">
        <v>6</v>
      </c>
      <c r="B50" s="52" t="s">
        <v>201</v>
      </c>
      <c r="C50" s="52">
        <v>556683957.05999994</v>
      </c>
      <c r="D50" s="52">
        <v>1774085786</v>
      </c>
    </row>
    <row r="51" spans="1:4">
      <c r="A51" s="83">
        <v>7</v>
      </c>
      <c r="B51" s="52" t="s">
        <v>179</v>
      </c>
      <c r="C51" s="52">
        <v>1774085785.8099999</v>
      </c>
      <c r="D51" s="52">
        <v>2660936400</v>
      </c>
    </row>
    <row r="52" spans="1:4">
      <c r="A52" s="75"/>
      <c r="B52" s="75"/>
      <c r="C52" s="95"/>
      <c r="D52" s="96"/>
    </row>
    <row r="53" spans="1:4">
      <c r="A53" s="75"/>
      <c r="B53" s="75"/>
      <c r="C53" s="75"/>
    </row>
    <row r="54" spans="1:4">
      <c r="A54" s="75"/>
      <c r="B54" s="75"/>
      <c r="C54" s="75"/>
    </row>
    <row r="55" spans="1:4">
      <c r="A55" s="75"/>
      <c r="B55" s="56" t="s">
        <v>94</v>
      </c>
      <c r="C55" s="97"/>
    </row>
    <row r="56" spans="1:4">
      <c r="A56" s="75"/>
      <c r="B56" s="56"/>
      <c r="C56" s="98"/>
    </row>
    <row r="57" spans="1:4">
      <c r="A57" s="75"/>
      <c r="B57" s="56" t="s">
        <v>95</v>
      </c>
      <c r="C57" s="98"/>
    </row>
    <row r="58" spans="1:4">
      <c r="A58" s="75"/>
      <c r="B58" s="75"/>
      <c r="C58" s="75"/>
    </row>
    <row r="59" spans="1:4">
      <c r="A59" s="75"/>
      <c r="B59" s="75"/>
      <c r="C59" s="75"/>
    </row>
    <row r="60" spans="1:4">
      <c r="A60" s="75"/>
      <c r="B60" s="75"/>
      <c r="C60" s="75"/>
    </row>
    <row r="66" spans="2:3">
      <c r="B66" s="99"/>
      <c r="C66" s="99"/>
    </row>
    <row r="67" spans="2:3">
      <c r="B67" s="100"/>
      <c r="C67" s="100"/>
    </row>
    <row r="68" spans="2:3">
      <c r="B68" s="100"/>
      <c r="C68" s="100"/>
    </row>
  </sheetData>
  <mergeCells count="6">
    <mergeCell ref="A2:E2"/>
    <mergeCell ref="A4:C4"/>
    <mergeCell ref="A7:A8"/>
    <mergeCell ref="B7:B8"/>
    <mergeCell ref="C7:C8"/>
    <mergeCell ref="D7:D8"/>
  </mergeCells>
  <phoneticPr fontId="30" type="noConversion"/>
  <printOptions horizontalCentered="1"/>
  <pageMargins left="0.25" right="0.25" top="0.75" bottom="0.75" header="0.3" footer="0.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0"/>
  <sheetViews>
    <sheetView topLeftCell="A55" workbookViewId="0">
      <selection activeCell="A68" sqref="A68:XFD68"/>
    </sheetView>
  </sheetViews>
  <sheetFormatPr defaultRowHeight="15"/>
  <cols>
    <col min="1" max="1" width="10.7109375" style="25" customWidth="1"/>
    <col min="2" max="2" width="55.85546875" style="25" bestFit="1" customWidth="1"/>
    <col min="3" max="4" width="17.7109375" style="55" bestFit="1" customWidth="1"/>
    <col min="5" max="5" width="17.28515625" style="25" bestFit="1" customWidth="1"/>
    <col min="6" max="16384" width="9.140625" style="25"/>
  </cols>
  <sheetData>
    <row r="1" spans="1:5">
      <c r="A1" s="24"/>
      <c r="B1" s="24"/>
      <c r="C1" s="144"/>
      <c r="D1" s="144"/>
    </row>
    <row r="2" spans="1:5">
      <c r="A2" s="24" t="s">
        <v>118</v>
      </c>
      <c r="B2" s="24"/>
      <c r="C2" s="144"/>
      <c r="D2" s="144"/>
    </row>
    <row r="3" spans="1:5">
      <c r="A3" s="145" t="s">
        <v>211</v>
      </c>
      <c r="B3" s="145"/>
      <c r="C3" s="145"/>
      <c r="D3" s="145"/>
    </row>
    <row r="4" spans="1:5">
      <c r="A4" s="45"/>
      <c r="B4" s="45"/>
      <c r="C4" s="47"/>
      <c r="D4" s="46">
        <v>44926</v>
      </c>
    </row>
    <row r="5" spans="1:5" ht="15" customHeight="1">
      <c r="A5" s="141" t="s">
        <v>54</v>
      </c>
      <c r="B5" s="142" t="s">
        <v>55</v>
      </c>
      <c r="C5" s="146" t="s">
        <v>56</v>
      </c>
      <c r="D5" s="146"/>
    </row>
    <row r="6" spans="1:5">
      <c r="A6" s="141"/>
      <c r="B6" s="143"/>
      <c r="C6" s="48" t="s">
        <v>109</v>
      </c>
      <c r="D6" s="48" t="s">
        <v>110</v>
      </c>
    </row>
    <row r="7" spans="1:5" ht="15" customHeight="1">
      <c r="A7" s="8">
        <v>1</v>
      </c>
      <c r="B7" s="2" t="s">
        <v>64</v>
      </c>
      <c r="C7" s="49"/>
      <c r="D7" s="49"/>
    </row>
    <row r="8" spans="1:5" ht="15" customHeight="1">
      <c r="A8" s="8">
        <v>1.1000000000000001</v>
      </c>
      <c r="B8" s="2" t="s">
        <v>57</v>
      </c>
      <c r="C8" s="49"/>
      <c r="D8" s="49"/>
    </row>
    <row r="9" spans="1:5" ht="15" customHeight="1">
      <c r="A9" s="3" t="s">
        <v>0</v>
      </c>
      <c r="B9" s="3" t="s">
        <v>58</v>
      </c>
      <c r="C9" s="49">
        <v>556683956.93999994</v>
      </c>
      <c r="D9" s="49">
        <v>1774085785.8099999</v>
      </c>
      <c r="E9" s="31"/>
    </row>
    <row r="10" spans="1:5" ht="15" customHeight="1">
      <c r="A10" s="3" t="s">
        <v>1</v>
      </c>
      <c r="B10" s="3" t="s">
        <v>59</v>
      </c>
      <c r="C10" s="49">
        <v>17374874229.959999</v>
      </c>
      <c r="D10" s="49">
        <v>14776608152.02</v>
      </c>
    </row>
    <row r="11" spans="1:5" ht="15" customHeight="1">
      <c r="A11" s="3" t="s">
        <v>2</v>
      </c>
      <c r="B11" s="3" t="s">
        <v>60</v>
      </c>
      <c r="C11" s="49"/>
      <c r="D11" s="49"/>
    </row>
    <row r="12" spans="1:5" ht="15" customHeight="1">
      <c r="A12" s="3" t="s">
        <v>3</v>
      </c>
      <c r="B12" s="3" t="s">
        <v>181</v>
      </c>
      <c r="C12" s="49">
        <v>2228440532.8499999</v>
      </c>
      <c r="D12" s="101">
        <f>3080017817.8+1230740300</f>
        <v>4310758117.8000002</v>
      </c>
    </row>
    <row r="13" spans="1:5" ht="15" customHeight="1">
      <c r="A13" s="3" t="s">
        <v>4</v>
      </c>
      <c r="B13" s="3" t="s">
        <v>182</v>
      </c>
      <c r="C13" s="49"/>
      <c r="D13" s="49"/>
    </row>
    <row r="14" spans="1:5" ht="15" customHeight="1">
      <c r="A14" s="3" t="s">
        <v>5</v>
      </c>
      <c r="B14" s="3" t="s">
        <v>61</v>
      </c>
      <c r="C14" s="49">
        <v>35949179</v>
      </c>
      <c r="D14" s="49">
        <v>1655549.52</v>
      </c>
    </row>
    <row r="15" spans="1:5" ht="15" customHeight="1">
      <c r="A15" s="3" t="s">
        <v>6</v>
      </c>
      <c r="B15" s="3" t="s">
        <v>62</v>
      </c>
      <c r="C15" s="49"/>
      <c r="D15" s="49"/>
    </row>
    <row r="16" spans="1:5" ht="15" customHeight="1">
      <c r="A16" s="3" t="s">
        <v>7</v>
      </c>
      <c r="B16" s="3" t="s">
        <v>63</v>
      </c>
      <c r="C16" s="49">
        <v>15456000</v>
      </c>
      <c r="D16" s="49">
        <v>17501555.850000001</v>
      </c>
    </row>
    <row r="17" spans="1:6" ht="15" customHeight="1">
      <c r="A17" s="3" t="s">
        <v>8</v>
      </c>
      <c r="B17" s="4" t="s">
        <v>183</v>
      </c>
      <c r="C17" s="49">
        <f>+SUM(C9:C16)</f>
        <v>20211403898.749996</v>
      </c>
      <c r="D17" s="49">
        <f>+SUM(D9:D16)</f>
        <v>20880609161</v>
      </c>
    </row>
    <row r="18" spans="1:6" ht="15" customHeight="1">
      <c r="A18" s="8">
        <v>1.2</v>
      </c>
      <c r="B18" s="2" t="s">
        <v>184</v>
      </c>
      <c r="C18" s="49"/>
      <c r="D18" s="49"/>
    </row>
    <row r="19" spans="1:6" ht="15" customHeight="1">
      <c r="A19" s="3" t="s">
        <v>9</v>
      </c>
      <c r="B19" s="5" t="s">
        <v>65</v>
      </c>
      <c r="C19" s="49">
        <v>4541483320</v>
      </c>
      <c r="D19" s="49">
        <v>4423947556.3100004</v>
      </c>
    </row>
    <row r="20" spans="1:6" ht="15" customHeight="1">
      <c r="A20" s="3" t="s">
        <v>10</v>
      </c>
      <c r="B20" s="3" t="s">
        <v>66</v>
      </c>
      <c r="C20" s="49"/>
      <c r="D20" s="49"/>
    </row>
    <row r="21" spans="1:6" ht="15" customHeight="1">
      <c r="A21" s="3" t="s">
        <v>11</v>
      </c>
      <c r="B21" s="3" t="s">
        <v>67</v>
      </c>
      <c r="C21" s="49"/>
      <c r="D21" s="49"/>
    </row>
    <row r="22" spans="1:6" ht="15" customHeight="1">
      <c r="A22" s="3" t="s">
        <v>12</v>
      </c>
      <c r="B22" s="3" t="s">
        <v>66</v>
      </c>
      <c r="C22" s="49"/>
      <c r="D22" s="49"/>
    </row>
    <row r="23" spans="1:6" ht="15" customHeight="1">
      <c r="A23" s="3" t="s">
        <v>13</v>
      </c>
      <c r="B23" s="5" t="s">
        <v>68</v>
      </c>
      <c r="C23" s="49"/>
      <c r="D23" s="49"/>
    </row>
    <row r="24" spans="1:6" ht="15" customHeight="1">
      <c r="A24" s="3" t="s">
        <v>14</v>
      </c>
      <c r="B24" s="3" t="s">
        <v>69</v>
      </c>
      <c r="C24" s="49"/>
      <c r="D24" s="49"/>
    </row>
    <row r="25" spans="1:6" ht="15" customHeight="1">
      <c r="A25" s="3" t="s">
        <v>15</v>
      </c>
      <c r="B25" s="5" t="s">
        <v>70</v>
      </c>
      <c r="C25" s="49">
        <f>5454750-0.35</f>
        <v>5454749.6500000004</v>
      </c>
      <c r="D25" s="49">
        <v>2884650.4800000004</v>
      </c>
    </row>
    <row r="26" spans="1:6" ht="15" customHeight="1">
      <c r="A26" s="3" t="s">
        <v>16</v>
      </c>
      <c r="B26" s="3" t="s">
        <v>66</v>
      </c>
      <c r="C26" s="49"/>
      <c r="D26" s="49"/>
    </row>
    <row r="27" spans="1:6" ht="15" customHeight="1">
      <c r="A27" s="3" t="s">
        <v>17</v>
      </c>
      <c r="B27" s="5" t="s">
        <v>71</v>
      </c>
      <c r="C27" s="49">
        <v>1000000</v>
      </c>
      <c r="D27" s="49">
        <v>51000000</v>
      </c>
    </row>
    <row r="28" spans="1:6" ht="15" customHeight="1">
      <c r="A28" s="3" t="s">
        <v>18</v>
      </c>
      <c r="B28" s="5" t="s">
        <v>72</v>
      </c>
      <c r="C28" s="49"/>
      <c r="D28" s="49"/>
    </row>
    <row r="29" spans="1:6" ht="15" customHeight="1">
      <c r="A29" s="3" t="s">
        <v>19</v>
      </c>
      <c r="B29" s="11" t="s">
        <v>73</v>
      </c>
      <c r="C29" s="49"/>
      <c r="D29" s="49"/>
      <c r="E29" s="31"/>
    </row>
    <row r="30" spans="1:6" ht="15" customHeight="1">
      <c r="A30" s="2" t="s">
        <v>10</v>
      </c>
      <c r="B30" s="4" t="s">
        <v>185</v>
      </c>
      <c r="C30" s="49">
        <f>+SUM(C19:C29)</f>
        <v>4547938069.6499996</v>
      </c>
      <c r="D30" s="49">
        <f>+SUM(D19:D29)</f>
        <v>4477832206.79</v>
      </c>
      <c r="E30" s="24"/>
      <c r="F30" s="31"/>
    </row>
    <row r="31" spans="1:6" ht="15" customHeight="1">
      <c r="A31" s="8">
        <v>1.3</v>
      </c>
      <c r="B31" s="22" t="s">
        <v>212</v>
      </c>
      <c r="C31" s="50">
        <f>+C17+C30</f>
        <v>24759341968.399994</v>
      </c>
      <c r="D31" s="50">
        <f>+D17+D30</f>
        <v>25358441367.790001</v>
      </c>
      <c r="E31" s="31"/>
    </row>
    <row r="32" spans="1:6" ht="15" customHeight="1">
      <c r="A32" s="8">
        <v>2</v>
      </c>
      <c r="B32" s="6" t="s">
        <v>74</v>
      </c>
      <c r="C32" s="49"/>
      <c r="D32" s="49"/>
    </row>
    <row r="33" spans="1:5" ht="15" customHeight="1">
      <c r="A33" s="8">
        <v>2.1</v>
      </c>
      <c r="B33" s="7" t="s">
        <v>213</v>
      </c>
      <c r="C33" s="49"/>
      <c r="D33" s="49"/>
    </row>
    <row r="34" spans="1:5" ht="15" customHeight="1">
      <c r="A34" s="8" t="s">
        <v>20</v>
      </c>
      <c r="B34" s="7" t="s">
        <v>186</v>
      </c>
      <c r="C34" s="49"/>
      <c r="D34" s="49"/>
    </row>
    <row r="35" spans="1:5" ht="15" customHeight="1">
      <c r="A35" s="3" t="s">
        <v>21</v>
      </c>
      <c r="B35" s="5" t="s">
        <v>187</v>
      </c>
      <c r="C35" s="49">
        <v>889241327.47000003</v>
      </c>
      <c r="D35" s="102">
        <f>5151930841.5-D51+1230740300</f>
        <v>2136007217.54</v>
      </c>
    </row>
    <row r="36" spans="1:5" ht="15" customHeight="1">
      <c r="A36" s="3" t="s">
        <v>22</v>
      </c>
      <c r="B36" s="5" t="s">
        <v>188</v>
      </c>
      <c r="C36" s="49">
        <v>104657150.21000001</v>
      </c>
      <c r="D36" s="52">
        <v>157518711.83000001</v>
      </c>
    </row>
    <row r="37" spans="1:5" ht="15" customHeight="1">
      <c r="A37" s="3" t="s">
        <v>23</v>
      </c>
      <c r="B37" s="5" t="s">
        <v>189</v>
      </c>
      <c r="C37" s="49">
        <v>45214634.990000002</v>
      </c>
      <c r="D37" s="52">
        <v>149834123.41999999</v>
      </c>
    </row>
    <row r="38" spans="1:5" ht="15" customHeight="1">
      <c r="A38" s="3" t="s">
        <v>24</v>
      </c>
      <c r="B38" s="5" t="s">
        <v>193</v>
      </c>
      <c r="C38" s="49"/>
      <c r="D38" s="52"/>
    </row>
    <row r="39" spans="1:5" ht="15" customHeight="1">
      <c r="A39" s="3" t="s">
        <v>25</v>
      </c>
      <c r="B39" s="5" t="s">
        <v>190</v>
      </c>
      <c r="C39" s="49"/>
      <c r="D39" s="52"/>
    </row>
    <row r="40" spans="1:5" ht="15" customHeight="1">
      <c r="A40" s="3" t="s">
        <v>26</v>
      </c>
      <c r="B40" s="5" t="s">
        <v>75</v>
      </c>
      <c r="C40" s="49"/>
      <c r="D40" s="52"/>
    </row>
    <row r="41" spans="1:5" ht="15" customHeight="1">
      <c r="A41" s="3" t="s">
        <v>27</v>
      </c>
      <c r="B41" s="5" t="s">
        <v>192</v>
      </c>
      <c r="C41" s="49">
        <v>25150691.399999999</v>
      </c>
      <c r="D41" s="52">
        <v>36953177.689999998</v>
      </c>
    </row>
    <row r="42" spans="1:5" ht="15" customHeight="1">
      <c r="A42" s="3" t="s">
        <v>28</v>
      </c>
      <c r="B42" s="5" t="s">
        <v>191</v>
      </c>
      <c r="C42" s="49"/>
      <c r="D42" s="52"/>
    </row>
    <row r="43" spans="1:5" ht="15" customHeight="1">
      <c r="A43" s="3" t="s">
        <v>29</v>
      </c>
      <c r="B43" s="5" t="s">
        <v>76</v>
      </c>
      <c r="C43" s="49">
        <v>2200000</v>
      </c>
      <c r="D43" s="52">
        <v>500000000</v>
      </c>
    </row>
    <row r="44" spans="1:5" ht="15" customHeight="1">
      <c r="A44" s="3" t="s">
        <v>30</v>
      </c>
      <c r="B44" s="5" t="s">
        <v>77</v>
      </c>
      <c r="C44" s="49">
        <v>6984417.1100000003</v>
      </c>
      <c r="D44" s="49">
        <v>2535395.7799999998</v>
      </c>
    </row>
    <row r="45" spans="1:5" ht="15" customHeight="1">
      <c r="A45" s="3" t="s">
        <v>31</v>
      </c>
      <c r="B45" s="5" t="s">
        <v>78</v>
      </c>
      <c r="C45" s="49"/>
      <c r="D45" s="52"/>
    </row>
    <row r="46" spans="1:5" ht="15" customHeight="1">
      <c r="A46" s="3" t="s">
        <v>39</v>
      </c>
      <c r="B46" s="5" t="s">
        <v>111</v>
      </c>
      <c r="C46" s="49">
        <v>792236.57</v>
      </c>
      <c r="D46" s="51">
        <v>242236.57</v>
      </c>
    </row>
    <row r="47" spans="1:5" ht="15" customHeight="1">
      <c r="A47" s="3" t="s">
        <v>32</v>
      </c>
      <c r="B47" s="3" t="s">
        <v>112</v>
      </c>
      <c r="C47" s="49">
        <v>41084649</v>
      </c>
      <c r="D47" s="52">
        <v>41084649</v>
      </c>
    </row>
    <row r="48" spans="1:5" ht="15" customHeight="1">
      <c r="A48" s="2" t="s">
        <v>40</v>
      </c>
      <c r="B48" s="8" t="s">
        <v>194</v>
      </c>
      <c r="C48" s="53">
        <f>+SUM(C35:C47)</f>
        <v>1115325106.75</v>
      </c>
      <c r="D48" s="54">
        <f>+SUM(D35:D47)</f>
        <v>3024175511.8300004</v>
      </c>
      <c r="E48" s="31"/>
    </row>
    <row r="49" spans="1:4" ht="15" customHeight="1">
      <c r="A49" s="2" t="s">
        <v>33</v>
      </c>
      <c r="B49" s="7" t="s">
        <v>79</v>
      </c>
      <c r="C49" s="49"/>
      <c r="D49" s="49"/>
    </row>
    <row r="50" spans="1:4" ht="15" customHeight="1">
      <c r="A50" s="3" t="s">
        <v>34</v>
      </c>
      <c r="B50" s="3" t="s">
        <v>80</v>
      </c>
      <c r="C50" s="49"/>
      <c r="D50" s="49"/>
    </row>
    <row r="51" spans="1:4" ht="15" customHeight="1">
      <c r="A51" s="3" t="s">
        <v>35</v>
      </c>
      <c r="B51" s="3" t="s">
        <v>81</v>
      </c>
      <c r="C51" s="49">
        <v>7190943764</v>
      </c>
      <c r="D51" s="101">
        <v>4246663923.96</v>
      </c>
    </row>
    <row r="52" spans="1:4" ht="15" customHeight="1">
      <c r="A52" s="3" t="s">
        <v>36</v>
      </c>
      <c r="B52" s="3" t="s">
        <v>82</v>
      </c>
      <c r="C52" s="49"/>
      <c r="D52" s="49"/>
    </row>
    <row r="53" spans="1:4" ht="15" customHeight="1">
      <c r="A53" s="3" t="s">
        <v>37</v>
      </c>
      <c r="B53" s="5" t="s">
        <v>77</v>
      </c>
      <c r="C53" s="49"/>
      <c r="D53" s="49"/>
    </row>
    <row r="54" spans="1:4" ht="15" customHeight="1">
      <c r="A54" s="3" t="s">
        <v>38</v>
      </c>
      <c r="B54" s="3" t="s">
        <v>83</v>
      </c>
      <c r="C54" s="49"/>
      <c r="D54" s="49"/>
    </row>
    <row r="55" spans="1:4" ht="15" customHeight="1">
      <c r="A55" s="2" t="s">
        <v>40</v>
      </c>
      <c r="B55" s="7" t="s">
        <v>84</v>
      </c>
      <c r="C55" s="49">
        <f>SUM(C50:C54)</f>
        <v>7190943764</v>
      </c>
      <c r="D55" s="49">
        <f>SUM(D50:D54)</f>
        <v>4246663923.96</v>
      </c>
    </row>
    <row r="56" spans="1:4" ht="15" customHeight="1">
      <c r="A56" s="2" t="s">
        <v>41</v>
      </c>
      <c r="B56" s="4" t="s">
        <v>214</v>
      </c>
      <c r="C56" s="53">
        <f>+C48+C55</f>
        <v>8306268870.75</v>
      </c>
      <c r="D56" s="53">
        <f>+D48+D55</f>
        <v>7270839435.7900009</v>
      </c>
    </row>
    <row r="57" spans="1:4" ht="15" customHeight="1">
      <c r="A57" s="8">
        <v>2.2999999999999998</v>
      </c>
      <c r="B57" s="7" t="s">
        <v>208</v>
      </c>
      <c r="C57" s="49"/>
      <c r="D57" s="49"/>
    </row>
    <row r="58" spans="1:4" ht="15" customHeight="1">
      <c r="A58" s="3" t="s">
        <v>42</v>
      </c>
      <c r="B58" s="5" t="s">
        <v>85</v>
      </c>
      <c r="C58" s="49"/>
      <c r="D58" s="49"/>
    </row>
    <row r="59" spans="1:4" ht="15" customHeight="1">
      <c r="A59" s="3" t="s">
        <v>43</v>
      </c>
      <c r="B59" s="5" t="s">
        <v>86</v>
      </c>
      <c r="C59" s="49">
        <v>1369488300</v>
      </c>
      <c r="D59" s="49">
        <v>1369488300</v>
      </c>
    </row>
    <row r="60" spans="1:4" ht="15" customHeight="1">
      <c r="A60" s="3" t="s">
        <v>44</v>
      </c>
      <c r="B60" s="5" t="s">
        <v>87</v>
      </c>
      <c r="C60" s="49"/>
      <c r="D60" s="49"/>
    </row>
    <row r="61" spans="1:4" ht="15" customHeight="1">
      <c r="A61" s="3" t="s">
        <v>45</v>
      </c>
      <c r="B61" s="7" t="s">
        <v>88</v>
      </c>
      <c r="C61" s="49"/>
      <c r="D61" s="49"/>
    </row>
    <row r="62" spans="1:4" ht="15" customHeight="1">
      <c r="A62" s="3" t="s">
        <v>46</v>
      </c>
      <c r="B62" s="5" t="s">
        <v>130</v>
      </c>
      <c r="C62" s="49">
        <v>7957309291</v>
      </c>
      <c r="D62" s="49">
        <v>7957309291</v>
      </c>
    </row>
    <row r="63" spans="1:4" ht="15" customHeight="1">
      <c r="A63" s="3" t="s">
        <v>47</v>
      </c>
      <c r="B63" s="3" t="s">
        <v>131</v>
      </c>
      <c r="C63" s="49">
        <v>3824524383.1000009</v>
      </c>
      <c r="D63" s="49">
        <v>3824524382.8200002</v>
      </c>
    </row>
    <row r="64" spans="1:4" ht="15" customHeight="1">
      <c r="A64" s="3" t="s">
        <v>48</v>
      </c>
      <c r="B64" s="5" t="s">
        <v>89</v>
      </c>
      <c r="C64" s="49"/>
      <c r="D64" s="49"/>
    </row>
    <row r="65" spans="1:5" ht="15" customHeight="1">
      <c r="A65" s="3" t="s">
        <v>49</v>
      </c>
      <c r="B65" s="5" t="s">
        <v>90</v>
      </c>
      <c r="C65" s="53">
        <f>+C66+C67</f>
        <v>3301751123.5499992</v>
      </c>
      <c r="D65" s="53">
        <f>+D66+D67</f>
        <v>4936279958.1800003</v>
      </c>
    </row>
    <row r="66" spans="1:5" ht="15" customHeight="1">
      <c r="A66" s="3" t="s">
        <v>50</v>
      </c>
      <c r="B66" s="3" t="s">
        <v>91</v>
      </c>
      <c r="C66" s="49">
        <v>-622063021.51999998</v>
      </c>
      <c r="D66" s="49">
        <v>1634528834.6300001</v>
      </c>
      <c r="E66" s="31"/>
    </row>
    <row r="67" spans="1:5" ht="15" customHeight="1">
      <c r="A67" s="3" t="s">
        <v>51</v>
      </c>
      <c r="B67" s="5" t="s">
        <v>92</v>
      </c>
      <c r="C67" s="49">
        <v>3923814145.0699992</v>
      </c>
      <c r="D67" s="52">
        <v>3301751123.5500002</v>
      </c>
    </row>
    <row r="68" spans="1:5" ht="15" customHeight="1">
      <c r="A68" s="2" t="s">
        <v>52</v>
      </c>
      <c r="B68" s="6" t="s">
        <v>215</v>
      </c>
      <c r="C68" s="53">
        <f>+C59+C65+C62+C63</f>
        <v>16453073097.65</v>
      </c>
      <c r="D68" s="53">
        <f>+D59+D65+D62+D63</f>
        <v>18087601932</v>
      </c>
      <c r="E68" s="31"/>
    </row>
    <row r="69" spans="1:5" ht="15" customHeight="1">
      <c r="A69" s="3">
        <v>2.4</v>
      </c>
      <c r="B69" s="9" t="s">
        <v>93</v>
      </c>
      <c r="C69" s="49"/>
      <c r="D69" s="49"/>
    </row>
    <row r="70" spans="1:5" ht="15" customHeight="1">
      <c r="A70" s="2" t="s">
        <v>53</v>
      </c>
      <c r="B70" s="2" t="s">
        <v>209</v>
      </c>
      <c r="C70" s="50">
        <f>+C56+C68</f>
        <v>24759341968.400002</v>
      </c>
      <c r="D70" s="50">
        <f>+D56+D68</f>
        <v>25358441367.790001</v>
      </c>
      <c r="E70" s="31"/>
    </row>
    <row r="71" spans="1:5">
      <c r="C71" s="55">
        <f>+C31-C70</f>
        <v>0</v>
      </c>
      <c r="D71" s="55">
        <f>+D31-D70</f>
        <v>0</v>
      </c>
    </row>
    <row r="78" spans="1:5">
      <c r="B78" s="56" t="s">
        <v>94</v>
      </c>
      <c r="C78" s="139"/>
      <c r="D78" s="140"/>
    </row>
    <row r="79" spans="1:5">
      <c r="B79" s="56"/>
      <c r="C79" s="139"/>
      <c r="D79" s="140"/>
    </row>
    <row r="80" spans="1:5">
      <c r="B80" s="56" t="s">
        <v>95</v>
      </c>
      <c r="C80" s="139"/>
      <c r="D80" s="140"/>
    </row>
  </sheetData>
  <mergeCells count="9">
    <mergeCell ref="C80:D80"/>
    <mergeCell ref="A5:A6"/>
    <mergeCell ref="B5:B6"/>
    <mergeCell ref="C78:D78"/>
    <mergeCell ref="C1:D1"/>
    <mergeCell ref="C2:D2"/>
    <mergeCell ref="A3:D3"/>
    <mergeCell ref="C5:D5"/>
    <mergeCell ref="C79:D79"/>
  </mergeCells>
  <phoneticPr fontId="4" type="noConversion"/>
  <printOptions horizontalCentered="1"/>
  <pageMargins left="0.5" right="0.5" top="1" bottom="1" header="0.5" footer="0.5"/>
  <pageSetup paperSize="9" orientation="portrait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E5" sqref="E5"/>
    </sheetView>
  </sheetViews>
  <sheetFormatPr defaultRowHeight="15"/>
  <cols>
    <col min="1" max="1" width="9.140625" style="25"/>
    <col min="2" max="2" width="4" style="25" customWidth="1"/>
    <col min="3" max="3" width="57.42578125" style="25" bestFit="1" customWidth="1"/>
    <col min="4" max="4" width="16.5703125" style="55" bestFit="1" customWidth="1"/>
    <col min="5" max="5" width="17.7109375" style="55" bestFit="1" customWidth="1"/>
    <col min="6" max="6" width="14.5703125" style="25" bestFit="1" customWidth="1"/>
    <col min="7" max="7" width="14" style="25" bestFit="1" customWidth="1"/>
    <col min="8" max="16384" width="9.140625" style="25"/>
  </cols>
  <sheetData>
    <row r="1" spans="1:5">
      <c r="A1" s="24"/>
      <c r="B1" s="24"/>
      <c r="C1" s="24"/>
      <c r="D1" s="147"/>
      <c r="E1" s="147"/>
    </row>
    <row r="2" spans="1:5" ht="12.75" customHeight="1">
      <c r="A2" s="153" t="s">
        <v>96</v>
      </c>
      <c r="B2" s="153"/>
      <c r="C2" s="153"/>
      <c r="D2" s="153"/>
      <c r="E2" s="153"/>
    </row>
    <row r="3" spans="1:5">
      <c r="A3" s="148" t="s">
        <v>118</v>
      </c>
      <c r="B3" s="148"/>
      <c r="C3" s="148"/>
      <c r="D3" s="57"/>
      <c r="E3" s="57"/>
    </row>
    <row r="4" spans="1:5">
      <c r="A4" s="58"/>
      <c r="B4" s="58"/>
      <c r="C4" s="58"/>
      <c r="D4" s="57"/>
      <c r="E4" s="46">
        <v>44926</v>
      </c>
    </row>
    <row r="5" spans="1:5" ht="14.25" customHeight="1">
      <c r="A5" s="26"/>
      <c r="B5" s="26"/>
      <c r="C5" s="27"/>
      <c r="D5" s="59"/>
      <c r="E5" s="60" t="s">
        <v>97</v>
      </c>
    </row>
    <row r="6" spans="1:5" ht="12.75" customHeight="1">
      <c r="A6" s="150" t="s">
        <v>54</v>
      </c>
      <c r="B6" s="141" t="s">
        <v>55</v>
      </c>
      <c r="C6" s="141"/>
      <c r="D6" s="151" t="s">
        <v>98</v>
      </c>
      <c r="E6" s="152" t="s">
        <v>99</v>
      </c>
    </row>
    <row r="7" spans="1:5">
      <c r="A7" s="150"/>
      <c r="B7" s="141"/>
      <c r="C7" s="141"/>
      <c r="D7" s="151"/>
      <c r="E7" s="152"/>
    </row>
    <row r="8" spans="1:5">
      <c r="A8" s="28"/>
      <c r="B8" s="149" t="s">
        <v>100</v>
      </c>
      <c r="C8" s="149"/>
      <c r="D8" s="61"/>
      <c r="E8" s="49"/>
    </row>
    <row r="9" spans="1:5" ht="12.75" customHeight="1">
      <c r="A9" s="30"/>
      <c r="B9" s="29"/>
      <c r="C9" s="5" t="s">
        <v>114</v>
      </c>
      <c r="D9" s="62">
        <v>1562344313.8499999</v>
      </c>
      <c r="E9" s="49">
        <v>3378231351.0999999</v>
      </c>
    </row>
    <row r="10" spans="1:5" ht="12.75" customHeight="1">
      <c r="A10" s="30"/>
      <c r="B10" s="29"/>
      <c r="C10" s="5" t="s">
        <v>113</v>
      </c>
      <c r="D10" s="62">
        <v>134787016.66999999</v>
      </c>
      <c r="E10" s="49">
        <v>109813015.45</v>
      </c>
    </row>
    <row r="11" spans="1:5" ht="12.75" customHeight="1">
      <c r="A11" s="30"/>
      <c r="B11" s="29"/>
      <c r="C11" s="5" t="s">
        <v>126</v>
      </c>
      <c r="D11" s="62">
        <v>41035423.719999999</v>
      </c>
      <c r="E11" s="49">
        <v>11641072.549999999</v>
      </c>
    </row>
    <row r="12" spans="1:5" ht="12.75" customHeight="1">
      <c r="A12" s="30"/>
      <c r="B12" s="29"/>
      <c r="C12" s="5" t="s">
        <v>115</v>
      </c>
      <c r="D12" s="62">
        <v>132329097.11</v>
      </c>
      <c r="E12" s="49">
        <v>179786251.83000001</v>
      </c>
    </row>
    <row r="13" spans="1:5" ht="12.75" customHeight="1">
      <c r="A13" s="30"/>
      <c r="B13" s="29"/>
      <c r="C13" s="5" t="s">
        <v>116</v>
      </c>
      <c r="D13" s="62">
        <v>165557448.56</v>
      </c>
      <c r="E13" s="49">
        <v>42967285.259999998</v>
      </c>
    </row>
    <row r="14" spans="1:5">
      <c r="A14" s="32"/>
      <c r="B14" s="29"/>
      <c r="C14" s="30" t="s">
        <v>119</v>
      </c>
      <c r="D14" s="62">
        <v>-1938166315.27</v>
      </c>
      <c r="E14" s="49">
        <v>-2066173452.04</v>
      </c>
    </row>
    <row r="15" spans="1:5" ht="20.100000000000001" customHeight="1">
      <c r="A15" s="23"/>
      <c r="B15" s="23"/>
      <c r="C15" s="23" t="s">
        <v>120</v>
      </c>
      <c r="D15" s="63">
        <v>-684718707.17999995</v>
      </c>
      <c r="E15" s="63">
        <v>-401080371.22000003</v>
      </c>
    </row>
    <row r="16" spans="1:5" ht="20.100000000000001" customHeight="1">
      <c r="A16" s="23"/>
      <c r="B16" s="23"/>
      <c r="C16" s="23" t="s">
        <v>121</v>
      </c>
      <c r="D16" s="63">
        <v>-16176276.73</v>
      </c>
      <c r="E16" s="63">
        <v>-48193222</v>
      </c>
    </row>
    <row r="17" spans="1:6">
      <c r="A17" s="29"/>
      <c r="B17" s="30"/>
      <c r="C17" s="29" t="s">
        <v>122</v>
      </c>
      <c r="D17" s="49">
        <v>-165748632.45999998</v>
      </c>
      <c r="E17" s="49">
        <v>306583266.00000006</v>
      </c>
    </row>
    <row r="18" spans="1:6">
      <c r="A18" s="3"/>
      <c r="B18" s="3"/>
      <c r="C18" s="3" t="s">
        <v>123</v>
      </c>
      <c r="D18" s="49">
        <v>163646075.88999999</v>
      </c>
      <c r="E18" s="49">
        <v>243970698.38000011</v>
      </c>
    </row>
    <row r="19" spans="1:6" s="65" customFormat="1" ht="14.25">
      <c r="A19" s="2"/>
      <c r="B19" s="2"/>
      <c r="C19" s="2" t="s">
        <v>124</v>
      </c>
      <c r="D19" s="53">
        <f>SUM(D9:D18)</f>
        <v>-605110555.84000003</v>
      </c>
      <c r="E19" s="53">
        <f>SUM(E9:E18)</f>
        <v>1757545895.3100002</v>
      </c>
      <c r="F19" s="64"/>
    </row>
    <row r="20" spans="1:6">
      <c r="A20" s="3"/>
      <c r="B20" s="3"/>
      <c r="C20" s="3" t="s">
        <v>195</v>
      </c>
      <c r="D20" s="66">
        <v>16952465.690000001</v>
      </c>
      <c r="E20" s="66">
        <v>123017060.68000001</v>
      </c>
    </row>
    <row r="21" spans="1:6" s="65" customFormat="1" ht="14.25">
      <c r="A21" s="2"/>
      <c r="B21" s="2"/>
      <c r="C21" s="2" t="s">
        <v>125</v>
      </c>
      <c r="D21" s="67">
        <f>+D19-D20</f>
        <v>-622063021.53000009</v>
      </c>
      <c r="E21" s="67">
        <f>+E19-E20</f>
        <v>1634528834.6300001</v>
      </c>
      <c r="F21" s="64"/>
    </row>
    <row r="22" spans="1:6" s="65" customFormat="1" ht="14.25">
      <c r="A22" s="2"/>
      <c r="B22" s="2"/>
      <c r="C22" s="2" t="s">
        <v>127</v>
      </c>
      <c r="D22" s="67">
        <f>+D21</f>
        <v>-622063021.53000009</v>
      </c>
      <c r="E22" s="67">
        <f>+E21</f>
        <v>1634528834.6300001</v>
      </c>
    </row>
    <row r="23" spans="1:6">
      <c r="E23" s="55">
        <f>+E22-balance!D66</f>
        <v>0</v>
      </c>
    </row>
    <row r="25" spans="1:6">
      <c r="C25" s="56" t="s">
        <v>94</v>
      </c>
    </row>
    <row r="26" spans="1:6">
      <c r="C26" s="56"/>
    </row>
    <row r="27" spans="1:6">
      <c r="C27" s="56" t="s">
        <v>95</v>
      </c>
    </row>
  </sheetData>
  <mergeCells count="8">
    <mergeCell ref="D1:E1"/>
    <mergeCell ref="A3:C3"/>
    <mergeCell ref="B8:C8"/>
    <mergeCell ref="B6:C7"/>
    <mergeCell ref="A6:A7"/>
    <mergeCell ref="D6:D7"/>
    <mergeCell ref="E6:E7"/>
    <mergeCell ref="A2:E2"/>
  </mergeCells>
  <phoneticPr fontId="0" type="noConversion"/>
  <printOptions horizontalCentered="1"/>
  <pageMargins left="0" right="0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>
      <selection activeCell="F6" sqref="F6"/>
    </sheetView>
  </sheetViews>
  <sheetFormatPr defaultRowHeight="15"/>
  <cols>
    <col min="1" max="1" width="5" style="39" customWidth="1"/>
    <col min="2" max="2" width="49.140625" style="39" bestFit="1" customWidth="1"/>
    <col min="3" max="3" width="15.7109375" style="68" bestFit="1" customWidth="1"/>
    <col min="4" max="4" width="24.140625" style="68" bestFit="1" customWidth="1"/>
    <col min="5" max="5" width="21.5703125" style="68" bestFit="1" customWidth="1"/>
    <col min="6" max="6" width="16.7109375" style="68" bestFit="1" customWidth="1"/>
    <col min="7" max="7" width="17.7109375" style="68" bestFit="1" customWidth="1"/>
    <col min="8" max="8" width="16.7109375" style="39" bestFit="1" customWidth="1"/>
    <col min="9" max="9" width="11.5703125" style="39" bestFit="1" customWidth="1"/>
    <col min="10" max="16384" width="9.140625" style="39"/>
  </cols>
  <sheetData>
    <row r="1" spans="1:8">
      <c r="G1" s="154"/>
      <c r="H1" s="154"/>
    </row>
    <row r="2" spans="1:8">
      <c r="A2" s="40" t="s">
        <v>118</v>
      </c>
      <c r="G2" s="154"/>
      <c r="H2" s="154"/>
    </row>
    <row r="3" spans="1:8">
      <c r="A3" s="157" t="s">
        <v>101</v>
      </c>
      <c r="B3" s="157"/>
      <c r="C3" s="157"/>
      <c r="D3" s="157"/>
      <c r="E3" s="157"/>
      <c r="F3" s="157"/>
      <c r="G3" s="157"/>
      <c r="H3" s="157"/>
    </row>
    <row r="4" spans="1:8">
      <c r="A4" s="156"/>
      <c r="B4" s="156"/>
      <c r="G4" s="69"/>
      <c r="H4" s="41"/>
    </row>
    <row r="5" spans="1:8">
      <c r="A5" s="155"/>
      <c r="B5" s="155"/>
      <c r="G5" s="46">
        <v>44926</v>
      </c>
    </row>
    <row r="6" spans="1:8">
      <c r="G6" s="70" t="s">
        <v>97</v>
      </c>
    </row>
    <row r="7" spans="1:8" s="43" customFormat="1">
      <c r="A7" s="42"/>
      <c r="B7" s="42"/>
      <c r="C7" s="71" t="s">
        <v>129</v>
      </c>
      <c r="D7" s="71" t="s">
        <v>130</v>
      </c>
      <c r="E7" s="71" t="s">
        <v>131</v>
      </c>
      <c r="F7" s="71" t="s">
        <v>132</v>
      </c>
      <c r="G7" s="71" t="s">
        <v>133</v>
      </c>
      <c r="H7" s="35"/>
    </row>
    <row r="8" spans="1:8" ht="15" customHeight="1">
      <c r="A8" s="36"/>
      <c r="B8" s="36" t="s">
        <v>109</v>
      </c>
      <c r="C8" s="72">
        <v>1369488300</v>
      </c>
      <c r="D8" s="72">
        <v>7957309291</v>
      </c>
      <c r="E8" s="72">
        <v>3824524382.8200002</v>
      </c>
      <c r="F8" s="72">
        <v>3301751123.5500002</v>
      </c>
      <c r="G8" s="72">
        <f>SUM(C8:F8)</f>
        <v>16453073097.369999</v>
      </c>
      <c r="H8" s="34"/>
    </row>
    <row r="9" spans="1:8" ht="15" customHeight="1">
      <c r="A9" s="37"/>
      <c r="B9" s="38" t="s">
        <v>196</v>
      </c>
      <c r="C9" s="73"/>
      <c r="D9" s="73"/>
      <c r="E9" s="73"/>
      <c r="F9" s="73">
        <v>1634528834.6300001</v>
      </c>
      <c r="G9" s="72">
        <f t="shared" ref="G9:G11" si="0">SUM(C9:F9)</f>
        <v>1634528834.6300001</v>
      </c>
      <c r="H9" s="33"/>
    </row>
    <row r="10" spans="1:8">
      <c r="A10" s="36"/>
      <c r="B10" s="36" t="s">
        <v>128</v>
      </c>
      <c r="C10" s="72"/>
      <c r="D10" s="72"/>
      <c r="E10" s="72"/>
      <c r="F10" s="72"/>
      <c r="G10" s="72">
        <f t="shared" si="0"/>
        <v>0</v>
      </c>
      <c r="H10" s="34"/>
    </row>
    <row r="11" spans="1:8">
      <c r="A11" s="44"/>
      <c r="B11" s="44" t="s">
        <v>110</v>
      </c>
      <c r="C11" s="74">
        <f>+C8+C9</f>
        <v>1369488300</v>
      </c>
      <c r="D11" s="74">
        <f t="shared" ref="D11:F11" si="1">+D8+D9</f>
        <v>7957309291</v>
      </c>
      <c r="E11" s="74">
        <f t="shared" si="1"/>
        <v>3824524382.8200002</v>
      </c>
      <c r="F11" s="74">
        <f t="shared" si="1"/>
        <v>4936279958.1800003</v>
      </c>
      <c r="G11" s="72">
        <f t="shared" si="0"/>
        <v>18087601932</v>
      </c>
    </row>
    <row r="12" spans="1:8">
      <c r="G12" s="68">
        <f>+G11-balance!D68</f>
        <v>0</v>
      </c>
    </row>
    <row r="15" spans="1:8">
      <c r="B15" s="56" t="s">
        <v>94</v>
      </c>
    </row>
    <row r="16" spans="1:8">
      <c r="B16" s="56"/>
    </row>
    <row r="17" spans="2:2">
      <c r="B17" s="56" t="s">
        <v>95</v>
      </c>
    </row>
  </sheetData>
  <mergeCells count="5">
    <mergeCell ref="G1:H1"/>
    <mergeCell ref="G2:H2"/>
    <mergeCell ref="A5:B5"/>
    <mergeCell ref="A4:B4"/>
    <mergeCell ref="A3:H3"/>
  </mergeCells>
  <phoneticPr fontId="4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7"/>
  <sheetViews>
    <sheetView workbookViewId="0">
      <selection activeCell="D5" sqref="D5"/>
    </sheetView>
  </sheetViews>
  <sheetFormatPr defaultRowHeight="15"/>
  <cols>
    <col min="1" max="1" width="9.140625" style="25"/>
    <col min="2" max="2" width="45.5703125" style="25" customWidth="1"/>
    <col min="3" max="3" width="17" style="25" bestFit="1" customWidth="1"/>
    <col min="4" max="4" width="22.5703125" style="25" bestFit="1" customWidth="1"/>
    <col min="5" max="249" width="9.140625" style="25"/>
    <col min="250" max="250" width="45.5703125" style="25" customWidth="1"/>
    <col min="251" max="251" width="18.42578125" style="25" bestFit="1" customWidth="1"/>
    <col min="252" max="256" width="0" style="25" hidden="1" customWidth="1"/>
    <col min="257" max="257" width="22.5703125" style="25" bestFit="1" customWidth="1"/>
    <col min="258" max="505" width="9.140625" style="25"/>
    <col min="506" max="506" width="45.5703125" style="25" customWidth="1"/>
    <col min="507" max="507" width="18.42578125" style="25" bestFit="1" customWidth="1"/>
    <col min="508" max="512" width="0" style="25" hidden="1" customWidth="1"/>
    <col min="513" max="513" width="22.5703125" style="25" bestFit="1" customWidth="1"/>
    <col min="514" max="761" width="9.140625" style="25"/>
    <col min="762" max="762" width="45.5703125" style="25" customWidth="1"/>
    <col min="763" max="763" width="18.42578125" style="25" bestFit="1" customWidth="1"/>
    <col min="764" max="768" width="0" style="25" hidden="1" customWidth="1"/>
    <col min="769" max="769" width="22.5703125" style="25" bestFit="1" customWidth="1"/>
    <col min="770" max="1017" width="9.140625" style="25"/>
    <col min="1018" max="1018" width="45.5703125" style="25" customWidth="1"/>
    <col min="1019" max="1019" width="18.42578125" style="25" bestFit="1" customWidth="1"/>
    <col min="1020" max="1024" width="0" style="25" hidden="1" customWidth="1"/>
    <col min="1025" max="1025" width="22.5703125" style="25" bestFit="1" customWidth="1"/>
    <col min="1026" max="1273" width="9.140625" style="25"/>
    <col min="1274" max="1274" width="45.5703125" style="25" customWidth="1"/>
    <col min="1275" max="1275" width="18.42578125" style="25" bestFit="1" customWidth="1"/>
    <col min="1276" max="1280" width="0" style="25" hidden="1" customWidth="1"/>
    <col min="1281" max="1281" width="22.5703125" style="25" bestFit="1" customWidth="1"/>
    <col min="1282" max="1529" width="9.140625" style="25"/>
    <col min="1530" max="1530" width="45.5703125" style="25" customWidth="1"/>
    <col min="1531" max="1531" width="18.42578125" style="25" bestFit="1" customWidth="1"/>
    <col min="1532" max="1536" width="0" style="25" hidden="1" customWidth="1"/>
    <col min="1537" max="1537" width="22.5703125" style="25" bestFit="1" customWidth="1"/>
    <col min="1538" max="1785" width="9.140625" style="25"/>
    <col min="1786" max="1786" width="45.5703125" style="25" customWidth="1"/>
    <col min="1787" max="1787" width="18.42578125" style="25" bestFit="1" customWidth="1"/>
    <col min="1788" max="1792" width="0" style="25" hidden="1" customWidth="1"/>
    <col min="1793" max="1793" width="22.5703125" style="25" bestFit="1" customWidth="1"/>
    <col min="1794" max="2041" width="9.140625" style="25"/>
    <col min="2042" max="2042" width="45.5703125" style="25" customWidth="1"/>
    <col min="2043" max="2043" width="18.42578125" style="25" bestFit="1" customWidth="1"/>
    <col min="2044" max="2048" width="0" style="25" hidden="1" customWidth="1"/>
    <col min="2049" max="2049" width="22.5703125" style="25" bestFit="1" customWidth="1"/>
    <col min="2050" max="2297" width="9.140625" style="25"/>
    <col min="2298" max="2298" width="45.5703125" style="25" customWidth="1"/>
    <col min="2299" max="2299" width="18.42578125" style="25" bestFit="1" customWidth="1"/>
    <col min="2300" max="2304" width="0" style="25" hidden="1" customWidth="1"/>
    <col min="2305" max="2305" width="22.5703125" style="25" bestFit="1" customWidth="1"/>
    <col min="2306" max="2553" width="9.140625" style="25"/>
    <col min="2554" max="2554" width="45.5703125" style="25" customWidth="1"/>
    <col min="2555" max="2555" width="18.42578125" style="25" bestFit="1" customWidth="1"/>
    <col min="2556" max="2560" width="0" style="25" hidden="1" customWidth="1"/>
    <col min="2561" max="2561" width="22.5703125" style="25" bestFit="1" customWidth="1"/>
    <col min="2562" max="2809" width="9.140625" style="25"/>
    <col min="2810" max="2810" width="45.5703125" style="25" customWidth="1"/>
    <col min="2811" max="2811" width="18.42578125" style="25" bestFit="1" customWidth="1"/>
    <col min="2812" max="2816" width="0" style="25" hidden="1" customWidth="1"/>
    <col min="2817" max="2817" width="22.5703125" style="25" bestFit="1" customWidth="1"/>
    <col min="2818" max="3065" width="9.140625" style="25"/>
    <col min="3066" max="3066" width="45.5703125" style="25" customWidth="1"/>
    <col min="3067" max="3067" width="18.42578125" style="25" bestFit="1" customWidth="1"/>
    <col min="3068" max="3072" width="0" style="25" hidden="1" customWidth="1"/>
    <col min="3073" max="3073" width="22.5703125" style="25" bestFit="1" customWidth="1"/>
    <col min="3074" max="3321" width="9.140625" style="25"/>
    <col min="3322" max="3322" width="45.5703125" style="25" customWidth="1"/>
    <col min="3323" max="3323" width="18.42578125" style="25" bestFit="1" customWidth="1"/>
    <col min="3324" max="3328" width="0" style="25" hidden="1" customWidth="1"/>
    <col min="3329" max="3329" width="22.5703125" style="25" bestFit="1" customWidth="1"/>
    <col min="3330" max="3577" width="9.140625" style="25"/>
    <col min="3578" max="3578" width="45.5703125" style="25" customWidth="1"/>
    <col min="3579" max="3579" width="18.42578125" style="25" bestFit="1" customWidth="1"/>
    <col min="3580" max="3584" width="0" style="25" hidden="1" customWidth="1"/>
    <col min="3585" max="3585" width="22.5703125" style="25" bestFit="1" customWidth="1"/>
    <col min="3586" max="3833" width="9.140625" style="25"/>
    <col min="3834" max="3834" width="45.5703125" style="25" customWidth="1"/>
    <col min="3835" max="3835" width="18.42578125" style="25" bestFit="1" customWidth="1"/>
    <col min="3836" max="3840" width="0" style="25" hidden="1" customWidth="1"/>
    <col min="3841" max="3841" width="22.5703125" style="25" bestFit="1" customWidth="1"/>
    <col min="3842" max="4089" width="9.140625" style="25"/>
    <col min="4090" max="4090" width="45.5703125" style="25" customWidth="1"/>
    <col min="4091" max="4091" width="18.42578125" style="25" bestFit="1" customWidth="1"/>
    <col min="4092" max="4096" width="0" style="25" hidden="1" customWidth="1"/>
    <col min="4097" max="4097" width="22.5703125" style="25" bestFit="1" customWidth="1"/>
    <col min="4098" max="4345" width="9.140625" style="25"/>
    <col min="4346" max="4346" width="45.5703125" style="25" customWidth="1"/>
    <col min="4347" max="4347" width="18.42578125" style="25" bestFit="1" customWidth="1"/>
    <col min="4348" max="4352" width="0" style="25" hidden="1" customWidth="1"/>
    <col min="4353" max="4353" width="22.5703125" style="25" bestFit="1" customWidth="1"/>
    <col min="4354" max="4601" width="9.140625" style="25"/>
    <col min="4602" max="4602" width="45.5703125" style="25" customWidth="1"/>
    <col min="4603" max="4603" width="18.42578125" style="25" bestFit="1" customWidth="1"/>
    <col min="4604" max="4608" width="0" style="25" hidden="1" customWidth="1"/>
    <col min="4609" max="4609" width="22.5703125" style="25" bestFit="1" customWidth="1"/>
    <col min="4610" max="4857" width="9.140625" style="25"/>
    <col min="4858" max="4858" width="45.5703125" style="25" customWidth="1"/>
    <col min="4859" max="4859" width="18.42578125" style="25" bestFit="1" customWidth="1"/>
    <col min="4860" max="4864" width="0" style="25" hidden="1" customWidth="1"/>
    <col min="4865" max="4865" width="22.5703125" style="25" bestFit="1" customWidth="1"/>
    <col min="4866" max="5113" width="9.140625" style="25"/>
    <col min="5114" max="5114" width="45.5703125" style="25" customWidth="1"/>
    <col min="5115" max="5115" width="18.42578125" style="25" bestFit="1" customWidth="1"/>
    <col min="5116" max="5120" width="0" style="25" hidden="1" customWidth="1"/>
    <col min="5121" max="5121" width="22.5703125" style="25" bestFit="1" customWidth="1"/>
    <col min="5122" max="5369" width="9.140625" style="25"/>
    <col min="5370" max="5370" width="45.5703125" style="25" customWidth="1"/>
    <col min="5371" max="5371" width="18.42578125" style="25" bestFit="1" customWidth="1"/>
    <col min="5372" max="5376" width="0" style="25" hidden="1" customWidth="1"/>
    <col min="5377" max="5377" width="22.5703125" style="25" bestFit="1" customWidth="1"/>
    <col min="5378" max="5625" width="9.140625" style="25"/>
    <col min="5626" max="5626" width="45.5703125" style="25" customWidth="1"/>
    <col min="5627" max="5627" width="18.42578125" style="25" bestFit="1" customWidth="1"/>
    <col min="5628" max="5632" width="0" style="25" hidden="1" customWidth="1"/>
    <col min="5633" max="5633" width="22.5703125" style="25" bestFit="1" customWidth="1"/>
    <col min="5634" max="5881" width="9.140625" style="25"/>
    <col min="5882" max="5882" width="45.5703125" style="25" customWidth="1"/>
    <col min="5883" max="5883" width="18.42578125" style="25" bestFit="1" customWidth="1"/>
    <col min="5884" max="5888" width="0" style="25" hidden="1" customWidth="1"/>
    <col min="5889" max="5889" width="22.5703125" style="25" bestFit="1" customWidth="1"/>
    <col min="5890" max="6137" width="9.140625" style="25"/>
    <col min="6138" max="6138" width="45.5703125" style="25" customWidth="1"/>
    <col min="6139" max="6139" width="18.42578125" style="25" bestFit="1" customWidth="1"/>
    <col min="6140" max="6144" width="0" style="25" hidden="1" customWidth="1"/>
    <col min="6145" max="6145" width="22.5703125" style="25" bestFit="1" customWidth="1"/>
    <col min="6146" max="6393" width="9.140625" style="25"/>
    <col min="6394" max="6394" width="45.5703125" style="25" customWidth="1"/>
    <col min="6395" max="6395" width="18.42578125" style="25" bestFit="1" customWidth="1"/>
    <col min="6396" max="6400" width="0" style="25" hidden="1" customWidth="1"/>
    <col min="6401" max="6401" width="22.5703125" style="25" bestFit="1" customWidth="1"/>
    <col min="6402" max="6649" width="9.140625" style="25"/>
    <col min="6650" max="6650" width="45.5703125" style="25" customWidth="1"/>
    <col min="6651" max="6651" width="18.42578125" style="25" bestFit="1" customWidth="1"/>
    <col min="6652" max="6656" width="0" style="25" hidden="1" customWidth="1"/>
    <col min="6657" max="6657" width="22.5703125" style="25" bestFit="1" customWidth="1"/>
    <col min="6658" max="6905" width="9.140625" style="25"/>
    <col min="6906" max="6906" width="45.5703125" style="25" customWidth="1"/>
    <col min="6907" max="6907" width="18.42578125" style="25" bestFit="1" customWidth="1"/>
    <col min="6908" max="6912" width="0" style="25" hidden="1" customWidth="1"/>
    <col min="6913" max="6913" width="22.5703125" style="25" bestFit="1" customWidth="1"/>
    <col min="6914" max="7161" width="9.140625" style="25"/>
    <col min="7162" max="7162" width="45.5703125" style="25" customWidth="1"/>
    <col min="7163" max="7163" width="18.42578125" style="25" bestFit="1" customWidth="1"/>
    <col min="7164" max="7168" width="0" style="25" hidden="1" customWidth="1"/>
    <col min="7169" max="7169" width="22.5703125" style="25" bestFit="1" customWidth="1"/>
    <col min="7170" max="7417" width="9.140625" style="25"/>
    <col min="7418" max="7418" width="45.5703125" style="25" customWidth="1"/>
    <col min="7419" max="7419" width="18.42578125" style="25" bestFit="1" customWidth="1"/>
    <col min="7420" max="7424" width="0" style="25" hidden="1" customWidth="1"/>
    <col min="7425" max="7425" width="22.5703125" style="25" bestFit="1" customWidth="1"/>
    <col min="7426" max="7673" width="9.140625" style="25"/>
    <col min="7674" max="7674" width="45.5703125" style="25" customWidth="1"/>
    <col min="7675" max="7675" width="18.42578125" style="25" bestFit="1" customWidth="1"/>
    <col min="7676" max="7680" width="0" style="25" hidden="1" customWidth="1"/>
    <col min="7681" max="7681" width="22.5703125" style="25" bestFit="1" customWidth="1"/>
    <col min="7682" max="7929" width="9.140625" style="25"/>
    <col min="7930" max="7930" width="45.5703125" style="25" customWidth="1"/>
    <col min="7931" max="7931" width="18.42578125" style="25" bestFit="1" customWidth="1"/>
    <col min="7932" max="7936" width="0" style="25" hidden="1" customWidth="1"/>
    <col min="7937" max="7937" width="22.5703125" style="25" bestFit="1" customWidth="1"/>
    <col min="7938" max="8185" width="9.140625" style="25"/>
    <col min="8186" max="8186" width="45.5703125" style="25" customWidth="1"/>
    <col min="8187" max="8187" width="18.42578125" style="25" bestFit="1" customWidth="1"/>
    <col min="8188" max="8192" width="0" style="25" hidden="1" customWidth="1"/>
    <col min="8193" max="8193" width="22.5703125" style="25" bestFit="1" customWidth="1"/>
    <col min="8194" max="8441" width="9.140625" style="25"/>
    <col min="8442" max="8442" width="45.5703125" style="25" customWidth="1"/>
    <col min="8443" max="8443" width="18.42578125" style="25" bestFit="1" customWidth="1"/>
    <col min="8444" max="8448" width="0" style="25" hidden="1" customWidth="1"/>
    <col min="8449" max="8449" width="22.5703125" style="25" bestFit="1" customWidth="1"/>
    <col min="8450" max="8697" width="9.140625" style="25"/>
    <col min="8698" max="8698" width="45.5703125" style="25" customWidth="1"/>
    <col min="8699" max="8699" width="18.42578125" style="25" bestFit="1" customWidth="1"/>
    <col min="8700" max="8704" width="0" style="25" hidden="1" customWidth="1"/>
    <col min="8705" max="8705" width="22.5703125" style="25" bestFit="1" customWidth="1"/>
    <col min="8706" max="8953" width="9.140625" style="25"/>
    <col min="8954" max="8954" width="45.5703125" style="25" customWidth="1"/>
    <col min="8955" max="8955" width="18.42578125" style="25" bestFit="1" customWidth="1"/>
    <col min="8956" max="8960" width="0" style="25" hidden="1" customWidth="1"/>
    <col min="8961" max="8961" width="22.5703125" style="25" bestFit="1" customWidth="1"/>
    <col min="8962" max="9209" width="9.140625" style="25"/>
    <col min="9210" max="9210" width="45.5703125" style="25" customWidth="1"/>
    <col min="9211" max="9211" width="18.42578125" style="25" bestFit="1" customWidth="1"/>
    <col min="9212" max="9216" width="0" style="25" hidden="1" customWidth="1"/>
    <col min="9217" max="9217" width="22.5703125" style="25" bestFit="1" customWidth="1"/>
    <col min="9218" max="9465" width="9.140625" style="25"/>
    <col min="9466" max="9466" width="45.5703125" style="25" customWidth="1"/>
    <col min="9467" max="9467" width="18.42578125" style="25" bestFit="1" customWidth="1"/>
    <col min="9468" max="9472" width="0" style="25" hidden="1" customWidth="1"/>
    <col min="9473" max="9473" width="22.5703125" style="25" bestFit="1" customWidth="1"/>
    <col min="9474" max="9721" width="9.140625" style="25"/>
    <col min="9722" max="9722" width="45.5703125" style="25" customWidth="1"/>
    <col min="9723" max="9723" width="18.42578125" style="25" bestFit="1" customWidth="1"/>
    <col min="9724" max="9728" width="0" style="25" hidden="1" customWidth="1"/>
    <col min="9729" max="9729" width="22.5703125" style="25" bestFit="1" customWidth="1"/>
    <col min="9730" max="9977" width="9.140625" style="25"/>
    <col min="9978" max="9978" width="45.5703125" style="25" customWidth="1"/>
    <col min="9979" max="9979" width="18.42578125" style="25" bestFit="1" customWidth="1"/>
    <col min="9980" max="9984" width="0" style="25" hidden="1" customWidth="1"/>
    <col min="9985" max="9985" width="22.5703125" style="25" bestFit="1" customWidth="1"/>
    <col min="9986" max="10233" width="9.140625" style="25"/>
    <col min="10234" max="10234" width="45.5703125" style="25" customWidth="1"/>
    <col min="10235" max="10235" width="18.42578125" style="25" bestFit="1" customWidth="1"/>
    <col min="10236" max="10240" width="0" style="25" hidden="1" customWidth="1"/>
    <col min="10241" max="10241" width="22.5703125" style="25" bestFit="1" customWidth="1"/>
    <col min="10242" max="10489" width="9.140625" style="25"/>
    <col min="10490" max="10490" width="45.5703125" style="25" customWidth="1"/>
    <col min="10491" max="10491" width="18.42578125" style="25" bestFit="1" customWidth="1"/>
    <col min="10492" max="10496" width="0" style="25" hidden="1" customWidth="1"/>
    <col min="10497" max="10497" width="22.5703125" style="25" bestFit="1" customWidth="1"/>
    <col min="10498" max="10745" width="9.140625" style="25"/>
    <col min="10746" max="10746" width="45.5703125" style="25" customWidth="1"/>
    <col min="10747" max="10747" width="18.42578125" style="25" bestFit="1" customWidth="1"/>
    <col min="10748" max="10752" width="0" style="25" hidden="1" customWidth="1"/>
    <col min="10753" max="10753" width="22.5703125" style="25" bestFit="1" customWidth="1"/>
    <col min="10754" max="11001" width="9.140625" style="25"/>
    <col min="11002" max="11002" width="45.5703125" style="25" customWidth="1"/>
    <col min="11003" max="11003" width="18.42578125" style="25" bestFit="1" customWidth="1"/>
    <col min="11004" max="11008" width="0" style="25" hidden="1" customWidth="1"/>
    <col min="11009" max="11009" width="22.5703125" style="25" bestFit="1" customWidth="1"/>
    <col min="11010" max="11257" width="9.140625" style="25"/>
    <col min="11258" max="11258" width="45.5703125" style="25" customWidth="1"/>
    <col min="11259" max="11259" width="18.42578125" style="25" bestFit="1" customWidth="1"/>
    <col min="11260" max="11264" width="0" style="25" hidden="1" customWidth="1"/>
    <col min="11265" max="11265" width="22.5703125" style="25" bestFit="1" customWidth="1"/>
    <col min="11266" max="11513" width="9.140625" style="25"/>
    <col min="11514" max="11514" width="45.5703125" style="25" customWidth="1"/>
    <col min="11515" max="11515" width="18.42578125" style="25" bestFit="1" customWidth="1"/>
    <col min="11516" max="11520" width="0" style="25" hidden="1" customWidth="1"/>
    <col min="11521" max="11521" width="22.5703125" style="25" bestFit="1" customWidth="1"/>
    <col min="11522" max="11769" width="9.140625" style="25"/>
    <col min="11770" max="11770" width="45.5703125" style="25" customWidth="1"/>
    <col min="11771" max="11771" width="18.42578125" style="25" bestFit="1" customWidth="1"/>
    <col min="11772" max="11776" width="0" style="25" hidden="1" customWidth="1"/>
    <col min="11777" max="11777" width="22.5703125" style="25" bestFit="1" customWidth="1"/>
    <col min="11778" max="12025" width="9.140625" style="25"/>
    <col min="12026" max="12026" width="45.5703125" style="25" customWidth="1"/>
    <col min="12027" max="12027" width="18.42578125" style="25" bestFit="1" customWidth="1"/>
    <col min="12028" max="12032" width="0" style="25" hidden="1" customWidth="1"/>
    <col min="12033" max="12033" width="22.5703125" style="25" bestFit="1" customWidth="1"/>
    <col min="12034" max="12281" width="9.140625" style="25"/>
    <col min="12282" max="12282" width="45.5703125" style="25" customWidth="1"/>
    <col min="12283" max="12283" width="18.42578125" style="25" bestFit="1" customWidth="1"/>
    <col min="12284" max="12288" width="0" style="25" hidden="1" customWidth="1"/>
    <col min="12289" max="12289" width="22.5703125" style="25" bestFit="1" customWidth="1"/>
    <col min="12290" max="12537" width="9.140625" style="25"/>
    <col min="12538" max="12538" width="45.5703125" style="25" customWidth="1"/>
    <col min="12539" max="12539" width="18.42578125" style="25" bestFit="1" customWidth="1"/>
    <col min="12540" max="12544" width="0" style="25" hidden="1" customWidth="1"/>
    <col min="12545" max="12545" width="22.5703125" style="25" bestFit="1" customWidth="1"/>
    <col min="12546" max="12793" width="9.140625" style="25"/>
    <col min="12794" max="12794" width="45.5703125" style="25" customWidth="1"/>
    <col min="12795" max="12795" width="18.42578125" style="25" bestFit="1" customWidth="1"/>
    <col min="12796" max="12800" width="0" style="25" hidden="1" customWidth="1"/>
    <col min="12801" max="12801" width="22.5703125" style="25" bestFit="1" customWidth="1"/>
    <col min="12802" max="13049" width="9.140625" style="25"/>
    <col min="13050" max="13050" width="45.5703125" style="25" customWidth="1"/>
    <col min="13051" max="13051" width="18.42578125" style="25" bestFit="1" customWidth="1"/>
    <col min="13052" max="13056" width="0" style="25" hidden="1" customWidth="1"/>
    <col min="13057" max="13057" width="22.5703125" style="25" bestFit="1" customWidth="1"/>
    <col min="13058" max="13305" width="9.140625" style="25"/>
    <col min="13306" max="13306" width="45.5703125" style="25" customWidth="1"/>
    <col min="13307" max="13307" width="18.42578125" style="25" bestFit="1" customWidth="1"/>
    <col min="13308" max="13312" width="0" style="25" hidden="1" customWidth="1"/>
    <col min="13313" max="13313" width="22.5703125" style="25" bestFit="1" customWidth="1"/>
    <col min="13314" max="13561" width="9.140625" style="25"/>
    <col min="13562" max="13562" width="45.5703125" style="25" customWidth="1"/>
    <col min="13563" max="13563" width="18.42578125" style="25" bestFit="1" customWidth="1"/>
    <col min="13564" max="13568" width="0" style="25" hidden="1" customWidth="1"/>
    <col min="13569" max="13569" width="22.5703125" style="25" bestFit="1" customWidth="1"/>
    <col min="13570" max="13817" width="9.140625" style="25"/>
    <col min="13818" max="13818" width="45.5703125" style="25" customWidth="1"/>
    <col min="13819" max="13819" width="18.42578125" style="25" bestFit="1" customWidth="1"/>
    <col min="13820" max="13824" width="0" style="25" hidden="1" customWidth="1"/>
    <col min="13825" max="13825" width="22.5703125" style="25" bestFit="1" customWidth="1"/>
    <col min="13826" max="14073" width="9.140625" style="25"/>
    <col min="14074" max="14074" width="45.5703125" style="25" customWidth="1"/>
    <col min="14075" max="14075" width="18.42578125" style="25" bestFit="1" customWidth="1"/>
    <col min="14076" max="14080" width="0" style="25" hidden="1" customWidth="1"/>
    <col min="14081" max="14081" width="22.5703125" style="25" bestFit="1" customWidth="1"/>
    <col min="14082" max="14329" width="9.140625" style="25"/>
    <col min="14330" max="14330" width="45.5703125" style="25" customWidth="1"/>
    <col min="14331" max="14331" width="18.42578125" style="25" bestFit="1" customWidth="1"/>
    <col min="14332" max="14336" width="0" style="25" hidden="1" customWidth="1"/>
    <col min="14337" max="14337" width="22.5703125" style="25" bestFit="1" customWidth="1"/>
    <col min="14338" max="14585" width="9.140625" style="25"/>
    <col min="14586" max="14586" width="45.5703125" style="25" customWidth="1"/>
    <col min="14587" max="14587" width="18.42578125" style="25" bestFit="1" customWidth="1"/>
    <col min="14588" max="14592" width="0" style="25" hidden="1" customWidth="1"/>
    <col min="14593" max="14593" width="22.5703125" style="25" bestFit="1" customWidth="1"/>
    <col min="14594" max="14841" width="9.140625" style="25"/>
    <col min="14842" max="14842" width="45.5703125" style="25" customWidth="1"/>
    <col min="14843" max="14843" width="18.42578125" style="25" bestFit="1" customWidth="1"/>
    <col min="14844" max="14848" width="0" style="25" hidden="1" customWidth="1"/>
    <col min="14849" max="14849" width="22.5703125" style="25" bestFit="1" customWidth="1"/>
    <col min="14850" max="15097" width="9.140625" style="25"/>
    <col min="15098" max="15098" width="45.5703125" style="25" customWidth="1"/>
    <col min="15099" max="15099" width="18.42578125" style="25" bestFit="1" customWidth="1"/>
    <col min="15100" max="15104" width="0" style="25" hidden="1" customWidth="1"/>
    <col min="15105" max="15105" width="22.5703125" style="25" bestFit="1" customWidth="1"/>
    <col min="15106" max="15353" width="9.140625" style="25"/>
    <col min="15354" max="15354" width="45.5703125" style="25" customWidth="1"/>
    <col min="15355" max="15355" width="18.42578125" style="25" bestFit="1" customWidth="1"/>
    <col min="15356" max="15360" width="0" style="25" hidden="1" customWidth="1"/>
    <col min="15361" max="15361" width="22.5703125" style="25" bestFit="1" customWidth="1"/>
    <col min="15362" max="15609" width="9.140625" style="25"/>
    <col min="15610" max="15610" width="45.5703125" style="25" customWidth="1"/>
    <col min="15611" max="15611" width="18.42578125" style="25" bestFit="1" customWidth="1"/>
    <col min="15612" max="15616" width="0" style="25" hidden="1" customWidth="1"/>
    <col min="15617" max="15617" width="22.5703125" style="25" bestFit="1" customWidth="1"/>
    <col min="15618" max="15865" width="9.140625" style="25"/>
    <col min="15866" max="15866" width="45.5703125" style="25" customWidth="1"/>
    <col min="15867" max="15867" width="18.42578125" style="25" bestFit="1" customWidth="1"/>
    <col min="15868" max="15872" width="0" style="25" hidden="1" customWidth="1"/>
    <col min="15873" max="15873" width="22.5703125" style="25" bestFit="1" customWidth="1"/>
    <col min="15874" max="16121" width="9.140625" style="25"/>
    <col min="16122" max="16122" width="45.5703125" style="25" customWidth="1"/>
    <col min="16123" max="16123" width="18.42578125" style="25" bestFit="1" customWidth="1"/>
    <col min="16124" max="16128" width="0" style="25" hidden="1" customWidth="1"/>
    <col min="16129" max="16129" width="22.5703125" style="25" bestFit="1" customWidth="1"/>
    <col min="16130" max="16384" width="9.140625" style="25"/>
  </cols>
  <sheetData>
    <row r="1" spans="1:5">
      <c r="A1" s="75"/>
      <c r="B1" s="75"/>
      <c r="C1" s="75"/>
    </row>
    <row r="2" spans="1:5" s="76" customFormat="1" ht="14.25">
      <c r="A2" s="153" t="s">
        <v>102</v>
      </c>
      <c r="B2" s="153"/>
      <c r="C2" s="153"/>
      <c r="D2" s="153"/>
      <c r="E2" s="153"/>
    </row>
    <row r="3" spans="1:5" s="76" customFormat="1" ht="14.25">
      <c r="A3" s="77"/>
      <c r="B3" s="77"/>
      <c r="C3" s="77"/>
      <c r="D3" s="77"/>
      <c r="E3" s="78"/>
    </row>
    <row r="4" spans="1:5" s="76" customFormat="1">
      <c r="A4" s="162"/>
      <c r="B4" s="162"/>
      <c r="C4" s="162"/>
      <c r="D4" s="46">
        <v>44926</v>
      </c>
      <c r="E4" s="46"/>
    </row>
    <row r="5" spans="1:5" s="76" customFormat="1" ht="14.25">
      <c r="A5" s="1"/>
      <c r="B5" s="79"/>
      <c r="C5" s="79"/>
      <c r="D5" s="79"/>
      <c r="E5" s="78"/>
    </row>
    <row r="6" spans="1:5" s="76" customFormat="1">
      <c r="A6" s="1"/>
      <c r="B6" s="79"/>
      <c r="C6" s="79"/>
      <c r="D6" s="10" t="s">
        <v>97</v>
      </c>
    </row>
    <row r="7" spans="1:5" s="65" customFormat="1" ht="14.25">
      <c r="A7" s="142" t="s">
        <v>54</v>
      </c>
      <c r="B7" s="163" t="s">
        <v>55</v>
      </c>
      <c r="C7" s="163" t="s">
        <v>109</v>
      </c>
      <c r="D7" s="160" t="s">
        <v>110</v>
      </c>
    </row>
    <row r="8" spans="1:5" s="65" customFormat="1" ht="14.25">
      <c r="A8" s="142"/>
      <c r="B8" s="164"/>
      <c r="C8" s="164"/>
      <c r="D8" s="161"/>
    </row>
    <row r="9" spans="1:5">
      <c r="A9" s="80">
        <v>1</v>
      </c>
      <c r="B9" s="81" t="s">
        <v>149</v>
      </c>
      <c r="C9" s="81"/>
      <c r="D9" s="3"/>
    </row>
    <row r="10" spans="1:5" s="65" customFormat="1">
      <c r="A10" s="80" t="s">
        <v>134</v>
      </c>
      <c r="B10" s="158" t="s">
        <v>103</v>
      </c>
      <c r="C10" s="159"/>
      <c r="D10" s="82">
        <f t="shared" ref="D10" si="0">SUM(D11:D14)</f>
        <v>2659637710.5599999</v>
      </c>
    </row>
    <row r="11" spans="1:5">
      <c r="A11" s="83" t="s">
        <v>0</v>
      </c>
      <c r="B11" s="52" t="s">
        <v>152</v>
      </c>
      <c r="C11" s="51">
        <v>1635291355.48</v>
      </c>
      <c r="D11" s="52">
        <v>2655314118.4299998</v>
      </c>
    </row>
    <row r="12" spans="1:5">
      <c r="A12" s="83" t="s">
        <v>1</v>
      </c>
      <c r="B12" s="52" t="s">
        <v>150</v>
      </c>
      <c r="C12" s="84">
        <v>1632218</v>
      </c>
      <c r="D12" s="52">
        <v>1664935.86</v>
      </c>
    </row>
    <row r="13" spans="1:5">
      <c r="A13" s="83" t="s">
        <v>2</v>
      </c>
      <c r="B13" s="52" t="s">
        <v>153</v>
      </c>
      <c r="C13" s="84">
        <v>212957</v>
      </c>
      <c r="D13" s="52">
        <v>1783200</v>
      </c>
    </row>
    <row r="14" spans="1:5">
      <c r="A14" s="83" t="s">
        <v>3</v>
      </c>
      <c r="B14" s="52" t="s">
        <v>151</v>
      </c>
      <c r="C14" s="84">
        <v>52812018.689999998</v>
      </c>
      <c r="D14" s="52">
        <v>875456.27</v>
      </c>
    </row>
    <row r="15" spans="1:5" s="65" customFormat="1">
      <c r="A15" s="80">
        <v>1.2</v>
      </c>
      <c r="B15" s="158" t="s">
        <v>104</v>
      </c>
      <c r="C15" s="159"/>
      <c r="D15" s="85">
        <f>SUM(D16:D24)</f>
        <v>1334217266.1699991</v>
      </c>
    </row>
    <row r="16" spans="1:5">
      <c r="A16" s="83" t="s">
        <v>9</v>
      </c>
      <c r="B16" s="52" t="s">
        <v>154</v>
      </c>
      <c r="C16" s="52">
        <v>645683000.44000006</v>
      </c>
      <c r="D16" s="52">
        <v>569742839.56999993</v>
      </c>
    </row>
    <row r="17" spans="1:4">
      <c r="A17" s="83" t="s">
        <v>10</v>
      </c>
      <c r="B17" s="52" t="s">
        <v>198</v>
      </c>
      <c r="C17" s="52">
        <v>80489083.780000001</v>
      </c>
      <c r="D17" s="52">
        <v>153425107.90000001</v>
      </c>
    </row>
    <row r="18" spans="1:4">
      <c r="A18" s="83" t="s">
        <v>11</v>
      </c>
      <c r="B18" s="86" t="s">
        <v>155</v>
      </c>
      <c r="C18" s="52">
        <v>62130067</v>
      </c>
      <c r="D18" s="52">
        <v>-4359167712.5</v>
      </c>
    </row>
    <row r="19" spans="1:4">
      <c r="A19" s="83" t="s">
        <v>12</v>
      </c>
      <c r="B19" s="87" t="s">
        <v>156</v>
      </c>
      <c r="C19" s="52">
        <v>146422782.65000001</v>
      </c>
      <c r="D19" s="52">
        <v>88163370.480000004</v>
      </c>
    </row>
    <row r="20" spans="1:4">
      <c r="A20" s="83" t="s">
        <v>13</v>
      </c>
      <c r="B20" s="88" t="s">
        <v>157</v>
      </c>
      <c r="C20" s="52">
        <v>22371706.23</v>
      </c>
      <c r="D20" s="52">
        <v>8291900.8200000003</v>
      </c>
    </row>
    <row r="21" spans="1:4">
      <c r="A21" s="83" t="s">
        <v>14</v>
      </c>
      <c r="B21" s="52" t="s">
        <v>158</v>
      </c>
      <c r="C21" s="52">
        <v>684376713.37</v>
      </c>
      <c r="D21" s="52">
        <v>402392401.47000003</v>
      </c>
    </row>
    <row r="22" spans="1:4">
      <c r="A22" s="83" t="s">
        <v>15</v>
      </c>
      <c r="B22" s="52" t="s">
        <v>159</v>
      </c>
      <c r="C22" s="52">
        <v>75824037.379999995</v>
      </c>
      <c r="D22" s="52">
        <v>85285296.239999995</v>
      </c>
    </row>
    <row r="23" spans="1:4">
      <c r="A23" s="83" t="s">
        <v>16</v>
      </c>
      <c r="B23" s="52" t="s">
        <v>160</v>
      </c>
      <c r="C23" s="52">
        <v>1902790</v>
      </c>
      <c r="D23" s="52">
        <v>1902790</v>
      </c>
    </row>
    <row r="24" spans="1:4">
      <c r="A24" s="83" t="s">
        <v>17</v>
      </c>
      <c r="B24" s="52" t="s">
        <v>199</v>
      </c>
      <c r="C24" s="52">
        <v>572586828.84000003</v>
      </c>
      <c r="D24" s="52">
        <v>4384181272.1899996</v>
      </c>
    </row>
    <row r="25" spans="1:4" s="65" customFormat="1" ht="14.25">
      <c r="A25" s="80"/>
      <c r="B25" s="89" t="s">
        <v>176</v>
      </c>
      <c r="C25" s="82">
        <f>+C10-C15</f>
        <v>0</v>
      </c>
      <c r="D25" s="82">
        <f>+D10-D15</f>
        <v>1325420444.3900008</v>
      </c>
    </row>
    <row r="26" spans="1:4" s="65" customFormat="1">
      <c r="A26" s="80">
        <v>2.1</v>
      </c>
      <c r="B26" s="158" t="s">
        <v>103</v>
      </c>
      <c r="C26" s="159"/>
      <c r="D26" s="82">
        <f>SUM(D27:D29)</f>
        <v>7921637716.3199997</v>
      </c>
    </row>
    <row r="27" spans="1:4">
      <c r="A27" s="83" t="s">
        <v>135</v>
      </c>
      <c r="B27" s="52" t="s">
        <v>161</v>
      </c>
      <c r="C27" s="51">
        <f>7653191608.13+4189588603.88</f>
        <v>11842780212.01</v>
      </c>
      <c r="D27" s="52">
        <v>7921576935.5699997</v>
      </c>
    </row>
    <row r="28" spans="1:4">
      <c r="A28" s="83" t="s">
        <v>136</v>
      </c>
      <c r="B28" s="52" t="s">
        <v>162</v>
      </c>
      <c r="C28" s="51">
        <v>3161168552.3099999</v>
      </c>
      <c r="D28" s="52">
        <v>0</v>
      </c>
    </row>
    <row r="29" spans="1:4">
      <c r="A29" s="83" t="s">
        <v>137</v>
      </c>
      <c r="B29" s="52" t="s">
        <v>163</v>
      </c>
      <c r="C29" s="51">
        <v>19292432.91</v>
      </c>
      <c r="D29" s="52">
        <v>60780.75</v>
      </c>
    </row>
    <row r="30" spans="1:4" s="65" customFormat="1">
      <c r="A30" s="80">
        <v>2.2000000000000002</v>
      </c>
      <c r="B30" s="158" t="s">
        <v>104</v>
      </c>
      <c r="C30" s="159"/>
      <c r="D30" s="82">
        <f>SUM(D31:D34)</f>
        <v>1442195311.1900001</v>
      </c>
    </row>
    <row r="31" spans="1:4">
      <c r="A31" s="83" t="s">
        <v>138</v>
      </c>
      <c r="B31" s="52" t="s">
        <v>164</v>
      </c>
      <c r="C31" s="90">
        <v>37375181</v>
      </c>
      <c r="D31" s="52">
        <v>29645356</v>
      </c>
    </row>
    <row r="32" spans="1:4">
      <c r="A32" s="83" t="s">
        <v>41</v>
      </c>
      <c r="B32" s="52" t="s">
        <v>165</v>
      </c>
      <c r="C32" s="52">
        <v>3205400</v>
      </c>
      <c r="D32" s="52">
        <v>-30080076</v>
      </c>
    </row>
    <row r="33" spans="1:4">
      <c r="A33" s="83" t="s">
        <v>139</v>
      </c>
      <c r="B33" s="52" t="s">
        <v>166</v>
      </c>
      <c r="C33" s="51">
        <v>6545285205</v>
      </c>
      <c r="D33" s="52">
        <v>1442630031.1900001</v>
      </c>
    </row>
    <row r="34" spans="1:4">
      <c r="A34" s="83" t="s">
        <v>140</v>
      </c>
      <c r="B34" s="52" t="s">
        <v>167</v>
      </c>
      <c r="C34" s="51">
        <v>9760952554.7199993</v>
      </c>
      <c r="D34" s="52">
        <v>0</v>
      </c>
    </row>
    <row r="35" spans="1:4" s="65" customFormat="1" ht="14.25">
      <c r="A35" s="80">
        <v>2.2000000000000002</v>
      </c>
      <c r="B35" s="89" t="s">
        <v>175</v>
      </c>
      <c r="C35" s="82">
        <f>+C26-C30</f>
        <v>0</v>
      </c>
      <c r="D35" s="82">
        <f>+D26-D30</f>
        <v>6479442405.1299992</v>
      </c>
    </row>
    <row r="36" spans="1:4" s="65" customFormat="1">
      <c r="A36" s="80">
        <v>3.1</v>
      </c>
      <c r="B36" s="158" t="s">
        <v>103</v>
      </c>
      <c r="C36" s="159"/>
      <c r="D36" s="82">
        <f>SUM(D37:D39)</f>
        <v>35726647565.739998</v>
      </c>
    </row>
    <row r="37" spans="1:4">
      <c r="A37" s="83" t="s">
        <v>141</v>
      </c>
      <c r="B37" s="52" t="s">
        <v>168</v>
      </c>
      <c r="C37" s="52">
        <v>11180070770</v>
      </c>
      <c r="D37" s="52">
        <v>35649930674.400002</v>
      </c>
    </row>
    <row r="38" spans="1:4">
      <c r="A38" s="83" t="s">
        <v>142</v>
      </c>
      <c r="B38" s="52" t="s">
        <v>169</v>
      </c>
      <c r="C38" s="52">
        <v>-70800000</v>
      </c>
      <c r="D38" s="52">
        <v>-6000000</v>
      </c>
    </row>
    <row r="39" spans="1:4">
      <c r="A39" s="83" t="s">
        <v>143</v>
      </c>
      <c r="B39" s="52" t="s">
        <v>200</v>
      </c>
      <c r="C39" s="90">
        <v>1542696.15</v>
      </c>
      <c r="D39" s="52">
        <v>82716891.340000004</v>
      </c>
    </row>
    <row r="40" spans="1:4" s="65" customFormat="1">
      <c r="A40" s="80">
        <v>3.2</v>
      </c>
      <c r="B40" s="158" t="s">
        <v>104</v>
      </c>
      <c r="C40" s="159"/>
      <c r="D40" s="82">
        <f t="shared" ref="D40" si="1">SUM(D41:D45)</f>
        <v>42314108586.510002</v>
      </c>
    </row>
    <row r="41" spans="1:4" s="65" customFormat="1">
      <c r="A41" s="83" t="s">
        <v>144</v>
      </c>
      <c r="B41" s="52" t="s">
        <v>170</v>
      </c>
      <c r="C41" s="52">
        <v>8547987955.79</v>
      </c>
      <c r="D41" s="52">
        <v>11793805296.860001</v>
      </c>
    </row>
    <row r="42" spans="1:4" s="65" customFormat="1">
      <c r="A42" s="83" t="s">
        <v>145</v>
      </c>
      <c r="B42" s="91" t="s">
        <v>171</v>
      </c>
      <c r="C42" s="91">
        <v>2061850</v>
      </c>
      <c r="D42" s="52">
        <v>0</v>
      </c>
    </row>
    <row r="43" spans="1:4" s="65" customFormat="1">
      <c r="A43" s="83" t="s">
        <v>146</v>
      </c>
      <c r="B43" s="92" t="s">
        <v>180</v>
      </c>
      <c r="C43" s="91"/>
      <c r="D43" s="52">
        <v>30437466233.75</v>
      </c>
    </row>
    <row r="44" spans="1:4" s="65" customFormat="1">
      <c r="A44" s="83" t="s">
        <v>147</v>
      </c>
      <c r="B44" s="91" t="s">
        <v>172</v>
      </c>
      <c r="C44" s="91">
        <v>115855163.54000001</v>
      </c>
      <c r="D44" s="52">
        <v>0</v>
      </c>
    </row>
    <row r="45" spans="1:4" s="65" customFormat="1">
      <c r="A45" s="83" t="s">
        <v>148</v>
      </c>
      <c r="B45" s="91" t="s">
        <v>173</v>
      </c>
      <c r="C45" s="91">
        <v>15391980</v>
      </c>
      <c r="D45" s="52">
        <v>82837055.900000006</v>
      </c>
    </row>
    <row r="46" spans="1:4" s="65" customFormat="1" ht="14.25">
      <c r="A46" s="80"/>
      <c r="B46" s="89" t="s">
        <v>174</v>
      </c>
      <c r="C46" s="82">
        <f>+C36-C40</f>
        <v>0</v>
      </c>
      <c r="D46" s="82">
        <f>+D36-D40</f>
        <v>-6587461020.7700043</v>
      </c>
    </row>
    <row r="47" spans="1:4" s="65" customFormat="1">
      <c r="A47" s="80">
        <v>4</v>
      </c>
      <c r="B47" s="52" t="s">
        <v>177</v>
      </c>
      <c r="C47" s="93">
        <v>608181.81000000006</v>
      </c>
      <c r="D47" s="82"/>
    </row>
    <row r="48" spans="1:4" s="65" customFormat="1" ht="14.25">
      <c r="A48" s="80">
        <v>5</v>
      </c>
      <c r="B48" s="94" t="s">
        <v>178</v>
      </c>
      <c r="C48" s="82">
        <f>+C25+C35+C46+C47</f>
        <v>608181.81000000006</v>
      </c>
      <c r="D48" s="82">
        <f>+D25+D35+D46+D47</f>
        <v>1217401828.7499962</v>
      </c>
    </row>
    <row r="49" spans="1:4">
      <c r="A49" s="83">
        <v>6</v>
      </c>
      <c r="B49" s="52" t="s">
        <v>201</v>
      </c>
      <c r="C49" s="52">
        <v>51974862</v>
      </c>
      <c r="D49" s="52">
        <v>556683957.05999994</v>
      </c>
    </row>
    <row r="50" spans="1:4">
      <c r="A50" s="83">
        <v>7</v>
      </c>
      <c r="B50" s="52" t="s">
        <v>179</v>
      </c>
      <c r="C50" s="52">
        <f>+[1]CT1!C11</f>
        <v>556683956.93999994</v>
      </c>
      <c r="D50" s="52">
        <v>1774085785.8100002</v>
      </c>
    </row>
    <row r="51" spans="1:4">
      <c r="A51" s="75"/>
      <c r="B51" s="75"/>
      <c r="C51" s="95"/>
      <c r="D51" s="96"/>
    </row>
    <row r="52" spans="1:4">
      <c r="A52" s="75"/>
      <c r="B52" s="75"/>
      <c r="C52" s="75"/>
    </row>
    <row r="53" spans="1:4">
      <c r="A53" s="75"/>
      <c r="B53" s="75"/>
      <c r="C53" s="75"/>
    </row>
    <row r="54" spans="1:4">
      <c r="A54" s="75"/>
      <c r="B54" s="56" t="s">
        <v>94</v>
      </c>
      <c r="C54" s="97"/>
    </row>
    <row r="55" spans="1:4">
      <c r="A55" s="75"/>
      <c r="B55" s="56"/>
      <c r="C55" s="98"/>
    </row>
    <row r="56" spans="1:4">
      <c r="A56" s="75"/>
      <c r="B56" s="56" t="s">
        <v>95</v>
      </c>
      <c r="C56" s="98"/>
    </row>
    <row r="57" spans="1:4">
      <c r="A57" s="75"/>
      <c r="B57" s="75"/>
      <c r="C57" s="75"/>
    </row>
    <row r="58" spans="1:4">
      <c r="A58" s="75"/>
      <c r="B58" s="75"/>
      <c r="C58" s="75"/>
    </row>
    <row r="59" spans="1:4">
      <c r="A59" s="75"/>
      <c r="B59" s="75"/>
      <c r="C59" s="75"/>
    </row>
    <row r="65" spans="2:3">
      <c r="B65" s="99"/>
      <c r="C65" s="99"/>
    </row>
    <row r="66" spans="2:3">
      <c r="B66" s="100"/>
      <c r="C66" s="100"/>
    </row>
    <row r="67" spans="2:3">
      <c r="B67" s="100"/>
      <c r="C67" s="100"/>
    </row>
  </sheetData>
  <mergeCells count="12">
    <mergeCell ref="D7:D8"/>
    <mergeCell ref="A2:E2"/>
    <mergeCell ref="A4:C4"/>
    <mergeCell ref="A7:A8"/>
    <mergeCell ref="B7:B8"/>
    <mergeCell ref="C7:C8"/>
    <mergeCell ref="B40:C40"/>
    <mergeCell ref="B10:C10"/>
    <mergeCell ref="B15:C15"/>
    <mergeCell ref="B26:C26"/>
    <mergeCell ref="B36:C36"/>
    <mergeCell ref="B30:C30"/>
  </mergeCells>
  <phoneticPr fontId="0" type="noConversion"/>
  <printOptions horizontalCentered="1"/>
  <pageMargins left="0.5" right="0.2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CC65-BF59-46B4-9103-244211A9A8BE}">
  <sheetPr>
    <pageSetUpPr fitToPage="1"/>
  </sheetPr>
  <dimension ref="A3:AA170"/>
  <sheetViews>
    <sheetView tabSelected="1" zoomScale="75" workbookViewId="0">
      <selection activeCell="G68" sqref="G68"/>
    </sheetView>
  </sheetViews>
  <sheetFormatPr defaultRowHeight="12.75"/>
  <cols>
    <col min="1" max="1" width="4.42578125" style="12" customWidth="1"/>
    <col min="2" max="2" width="8.140625" style="12" customWidth="1"/>
    <col min="3" max="3" width="9.7109375" style="12" customWidth="1"/>
    <col min="4" max="5" width="3.7109375" style="12" customWidth="1"/>
    <col min="6" max="10" width="3.7109375" style="13" customWidth="1"/>
    <col min="11" max="14" width="9.7109375" style="13" customWidth="1"/>
    <col min="15" max="15" width="19.140625" style="13" customWidth="1"/>
    <col min="16" max="16" width="8.28515625" style="13" customWidth="1"/>
    <col min="17" max="17" width="10.7109375" style="13" customWidth="1"/>
    <col min="18" max="18" width="16" style="12" customWidth="1"/>
    <col min="19" max="19" width="10.140625" style="12" bestFit="1" customWidth="1"/>
    <col min="20" max="16384" width="9.140625" style="12"/>
  </cols>
  <sheetData>
    <row r="3" spans="1:16" ht="15" customHeight="1">
      <c r="G3" s="14"/>
      <c r="H3" s="14"/>
      <c r="I3" s="14"/>
      <c r="J3" s="14"/>
      <c r="K3" s="14"/>
      <c r="L3" s="133" t="s">
        <v>202</v>
      </c>
      <c r="M3" s="133"/>
      <c r="N3" s="133"/>
      <c r="O3" s="133"/>
      <c r="P3" s="20"/>
    </row>
    <row r="4" spans="1:16" ht="15" customHeight="1">
      <c r="G4" s="14"/>
      <c r="H4" s="14"/>
      <c r="I4" s="14"/>
      <c r="J4" s="14"/>
      <c r="K4" s="14"/>
      <c r="L4" s="133" t="s">
        <v>203</v>
      </c>
      <c r="M4" s="133"/>
      <c r="N4" s="133"/>
      <c r="O4" s="133"/>
      <c r="P4" s="20"/>
    </row>
    <row r="5" spans="1:16" ht="12" customHeight="1"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2" customHeight="1"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2" customHeight="1"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2" customHeight="1">
      <c r="G8" s="14"/>
      <c r="H8" s="14"/>
      <c r="I8" s="14"/>
      <c r="J8" s="14"/>
      <c r="K8" s="14"/>
      <c r="L8" s="14"/>
      <c r="M8" s="14"/>
      <c r="N8" s="14"/>
      <c r="O8" s="14"/>
      <c r="P8" s="14"/>
    </row>
    <row r="10" spans="1:16" ht="15.75">
      <c r="A10" s="135" t="s">
        <v>105</v>
      </c>
      <c r="B10" s="135"/>
      <c r="C10" s="136"/>
      <c r="D10" s="15">
        <v>2</v>
      </c>
      <c r="E10" s="15">
        <v>0</v>
      </c>
      <c r="F10" s="16">
        <v>5</v>
      </c>
      <c r="G10" s="16">
        <v>2</v>
      </c>
      <c r="H10" s="16">
        <v>4</v>
      </c>
      <c r="I10" s="16">
        <v>8</v>
      </c>
      <c r="J10" s="16">
        <v>2</v>
      </c>
    </row>
    <row r="11" spans="1:16">
      <c r="A11" s="17"/>
      <c r="B11" s="17"/>
      <c r="C11" s="17"/>
    </row>
    <row r="12" spans="1:16">
      <c r="A12" s="137" t="s">
        <v>204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</row>
    <row r="13" spans="1:16">
      <c r="A13" s="137" t="s">
        <v>205</v>
      </c>
      <c r="B13" s="137"/>
      <c r="C13" s="137"/>
      <c r="D13" s="137"/>
      <c r="E13" s="137"/>
      <c r="F13" s="137"/>
      <c r="G13" s="137"/>
      <c r="H13" s="137"/>
      <c r="I13" s="137"/>
      <c r="J13" s="137"/>
    </row>
    <row r="14" spans="1:16">
      <c r="A14" s="137" t="s">
        <v>206</v>
      </c>
      <c r="B14" s="137"/>
      <c r="C14" s="137"/>
      <c r="D14" s="137"/>
      <c r="E14" s="137"/>
      <c r="F14" s="137"/>
      <c r="G14" s="137"/>
      <c r="H14" s="137"/>
      <c r="I14" s="137"/>
      <c r="J14" s="137"/>
    </row>
    <row r="15" spans="1:16">
      <c r="A15" s="137" t="s">
        <v>210</v>
      </c>
      <c r="B15" s="137"/>
      <c r="C15" s="137"/>
      <c r="D15" s="137"/>
      <c r="E15" s="137"/>
      <c r="F15" s="137"/>
      <c r="G15" s="137"/>
      <c r="H15" s="137"/>
      <c r="I15" s="137"/>
      <c r="J15" s="18"/>
      <c r="L15" s="138" t="s">
        <v>207</v>
      </c>
      <c r="M15" s="138"/>
      <c r="N15" s="138"/>
      <c r="O15" s="138"/>
    </row>
    <row r="16" spans="1:16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6">
      <c r="A17" s="17"/>
      <c r="B17" s="17"/>
      <c r="C17" s="17"/>
    </row>
    <row r="18" spans="1:16">
      <c r="A18" s="17"/>
      <c r="B18" s="17"/>
      <c r="C18" s="17"/>
      <c r="D18" s="18"/>
      <c r="E18" s="18"/>
      <c r="F18" s="18"/>
    </row>
    <row r="19" spans="1:16">
      <c r="A19" s="17"/>
      <c r="C19" s="134" t="s">
        <v>117</v>
      </c>
      <c r="D19" s="134"/>
      <c r="E19" s="134"/>
      <c r="F19" s="134"/>
      <c r="G19" s="134"/>
      <c r="H19" s="134"/>
    </row>
    <row r="20" spans="1:16">
      <c r="A20" s="17"/>
      <c r="B20" s="17"/>
      <c r="C20" s="134"/>
      <c r="D20" s="134"/>
      <c r="E20" s="134"/>
      <c r="F20" s="134"/>
      <c r="G20" s="134"/>
      <c r="H20" s="134"/>
    </row>
    <row r="21" spans="1:16">
      <c r="A21" s="17"/>
      <c r="B21" s="17"/>
      <c r="C21" s="134"/>
      <c r="D21" s="134"/>
      <c r="E21" s="134"/>
      <c r="F21" s="134"/>
      <c r="G21" s="134"/>
      <c r="H21" s="134"/>
    </row>
    <row r="22" spans="1:16">
      <c r="A22" s="17"/>
      <c r="B22" s="17"/>
      <c r="C22" s="134"/>
      <c r="D22" s="134"/>
      <c r="E22" s="134"/>
      <c r="F22" s="134"/>
      <c r="G22" s="134"/>
      <c r="H22" s="134"/>
    </row>
    <row r="23" spans="1:16">
      <c r="A23" s="17"/>
      <c r="B23" s="17"/>
      <c r="C23" s="17"/>
    </row>
    <row r="24" spans="1:16">
      <c r="A24" s="17"/>
      <c r="B24" s="17"/>
      <c r="C24" s="17"/>
    </row>
    <row r="25" spans="1:16">
      <c r="A25" s="17"/>
      <c r="B25" s="17"/>
      <c r="C25" s="17"/>
    </row>
    <row r="30" spans="1:16" ht="24.95" customHeight="1">
      <c r="A30" s="129" t="s">
        <v>118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1:16" ht="24.95" customHeight="1">
      <c r="A31" s="129" t="s">
        <v>216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</row>
    <row r="32" spans="1:16" ht="24.95" customHeight="1">
      <c r="A32" s="129" t="s">
        <v>197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21"/>
    </row>
    <row r="33" spans="1:16" ht="24.95" customHeight="1">
      <c r="P33" s="21"/>
    </row>
    <row r="34" spans="1:16" ht="24.95" customHeight="1">
      <c r="P34" s="21"/>
    </row>
    <row r="35" spans="1:16" ht="12" customHeight="1"/>
    <row r="43" spans="1:16" ht="24.95" customHeight="1">
      <c r="A43" s="130" t="s">
        <v>106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1" t="s">
        <v>107</v>
      </c>
      <c r="L43" s="132"/>
      <c r="M43" s="130" t="s">
        <v>108</v>
      </c>
      <c r="N43" s="130"/>
      <c r="O43" s="130"/>
    </row>
    <row r="44" spans="1:16" ht="24.95" customHeight="1">
      <c r="A44" s="126"/>
      <c r="B44" s="127"/>
      <c r="C44" s="127"/>
      <c r="D44" s="127"/>
      <c r="E44" s="127"/>
      <c r="F44" s="127"/>
      <c r="G44" s="127"/>
      <c r="H44" s="127"/>
      <c r="I44" s="127"/>
      <c r="J44" s="128"/>
      <c r="K44" s="123"/>
      <c r="L44" s="124"/>
      <c r="M44" s="125"/>
      <c r="N44" s="125"/>
      <c r="O44" s="125"/>
    </row>
    <row r="45" spans="1:16" ht="24.95" customHeight="1">
      <c r="A45" s="126"/>
      <c r="B45" s="127"/>
      <c r="C45" s="127"/>
      <c r="D45" s="127"/>
      <c r="E45" s="127"/>
      <c r="F45" s="127"/>
      <c r="G45" s="127"/>
      <c r="H45" s="127"/>
      <c r="I45" s="127"/>
      <c r="J45" s="128"/>
      <c r="K45" s="123"/>
      <c r="L45" s="124"/>
      <c r="M45" s="125"/>
      <c r="N45" s="125"/>
      <c r="O45" s="125"/>
    </row>
    <row r="46" spans="1:16" ht="24.95" customHeight="1">
      <c r="A46" s="126"/>
      <c r="B46" s="127"/>
      <c r="C46" s="127"/>
      <c r="D46" s="127"/>
      <c r="E46" s="127"/>
      <c r="F46" s="127"/>
      <c r="G46" s="127"/>
      <c r="H46" s="127"/>
      <c r="I46" s="127"/>
      <c r="J46" s="128"/>
      <c r="K46" s="123"/>
      <c r="L46" s="124"/>
      <c r="M46" s="125"/>
      <c r="N46" s="125"/>
      <c r="O46" s="125"/>
    </row>
    <row r="47" spans="1:16" ht="24.95" customHeight="1">
      <c r="A47" s="126"/>
      <c r="B47" s="127"/>
      <c r="C47" s="127"/>
      <c r="D47" s="127"/>
      <c r="E47" s="127"/>
      <c r="F47" s="127"/>
      <c r="G47" s="127"/>
      <c r="H47" s="127"/>
      <c r="I47" s="127"/>
      <c r="J47" s="128"/>
      <c r="K47" s="123"/>
      <c r="L47" s="124"/>
      <c r="M47" s="125"/>
      <c r="N47" s="125"/>
      <c r="O47" s="125"/>
      <c r="P47" s="12"/>
    </row>
    <row r="48" spans="1:16" ht="20.100000000000001" customHeight="1">
      <c r="P48" s="12"/>
    </row>
    <row r="49" spans="16:16" ht="20.100000000000001" customHeight="1"/>
    <row r="50" spans="16:16" ht="20.100000000000001" customHeight="1">
      <c r="P50" s="19"/>
    </row>
    <row r="51" spans="16:16" ht="20.100000000000001" customHeight="1">
      <c r="P51" s="14"/>
    </row>
    <row r="52" spans="16:16" ht="20.100000000000001" customHeight="1">
      <c r="P52" s="14"/>
    </row>
    <row r="53" spans="16:16" ht="20.100000000000001" customHeight="1">
      <c r="P53" s="14"/>
    </row>
    <row r="54" spans="16:16" ht="20.100000000000001" customHeight="1">
      <c r="P54" s="14"/>
    </row>
    <row r="55" spans="16:16" ht="20.100000000000001" customHeight="1"/>
    <row r="56" spans="16:16" ht="20.100000000000001" customHeight="1"/>
    <row r="57" spans="16:16" ht="20.100000000000001" customHeight="1"/>
    <row r="58" spans="16:16" ht="20.100000000000001" customHeight="1"/>
    <row r="59" spans="16:16" ht="20.100000000000001" customHeight="1"/>
    <row r="60" spans="16:16" ht="20.100000000000001" customHeight="1"/>
    <row r="61" spans="16:16" ht="20.100000000000001" customHeight="1"/>
    <row r="62" spans="16:16" ht="20.100000000000001" customHeight="1"/>
    <row r="71" ht="15" customHeight="1"/>
    <row r="72" ht="1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9" ht="16.5" customHeight="1"/>
    <row r="110" ht="16.5" customHeight="1"/>
    <row r="111" ht="16.5" customHeight="1"/>
    <row r="112" ht="16.5" customHeight="1"/>
    <row r="113" spans="24:27" ht="16.5" customHeight="1"/>
    <row r="114" spans="24:27" ht="16.5" customHeight="1"/>
    <row r="115" spans="24:27" ht="16.5" customHeight="1"/>
    <row r="116" spans="24:27" ht="16.5" customHeight="1"/>
    <row r="117" spans="24:27" ht="16.5" customHeight="1"/>
    <row r="118" spans="24:27" ht="16.5" customHeight="1"/>
    <row r="119" spans="24:27" ht="16.5" customHeight="1"/>
    <row r="120" spans="24:27" ht="16.5" customHeight="1"/>
    <row r="121" spans="24:27" ht="16.5" customHeight="1"/>
    <row r="122" spans="24:27" ht="16.5" customHeight="1"/>
    <row r="123" spans="24:27" ht="16.5" customHeight="1"/>
    <row r="124" spans="24:27" ht="16.5" customHeight="1"/>
    <row r="125" spans="24:27" ht="16.5" customHeight="1">
      <c r="X125" s="13"/>
      <c r="Y125" s="13"/>
      <c r="Z125" s="13"/>
      <c r="AA125" s="13"/>
    </row>
    <row r="126" spans="24:27" ht="16.5" customHeight="1">
      <c r="X126" s="13"/>
      <c r="Y126" s="13"/>
      <c r="Z126" s="13"/>
      <c r="AA126" s="13"/>
    </row>
    <row r="127" spans="24:27" ht="16.5" customHeight="1">
      <c r="X127" s="13"/>
      <c r="Y127" s="13"/>
      <c r="Z127" s="13"/>
      <c r="AA127" s="13"/>
    </row>
    <row r="128" spans="24:27" ht="16.5" customHeight="1">
      <c r="X128" s="13"/>
      <c r="Y128" s="13"/>
      <c r="Z128" s="13"/>
      <c r="AA128" s="13"/>
    </row>
    <row r="129" spans="24:27" ht="16.5" customHeight="1">
      <c r="X129" s="13"/>
      <c r="Y129" s="13"/>
      <c r="Z129" s="13"/>
      <c r="AA129" s="13"/>
    </row>
    <row r="130" spans="24:27" ht="16.5" customHeight="1">
      <c r="X130" s="13"/>
      <c r="Y130" s="13"/>
      <c r="Z130" s="13"/>
      <c r="AA130" s="13"/>
    </row>
    <row r="131" spans="24:27" ht="16.5" customHeight="1">
      <c r="X131" s="13"/>
      <c r="Y131" s="13"/>
      <c r="Z131" s="13"/>
      <c r="AA131" s="13"/>
    </row>
    <row r="132" spans="24:27" ht="16.5" customHeight="1">
      <c r="X132" s="13"/>
      <c r="Y132" s="13"/>
      <c r="Z132" s="13"/>
      <c r="AA132" s="13"/>
    </row>
    <row r="133" spans="24:27" ht="16.5" customHeight="1">
      <c r="X133" s="13"/>
      <c r="Y133" s="13"/>
      <c r="Z133" s="13"/>
      <c r="AA133" s="13"/>
    </row>
    <row r="134" spans="24:27" ht="16.5" customHeight="1">
      <c r="X134" s="13"/>
      <c r="Y134" s="13"/>
      <c r="Z134" s="13"/>
      <c r="AA134" s="13"/>
    </row>
    <row r="135" spans="24:27" ht="16.5" customHeight="1"/>
    <row r="136" spans="24:27" ht="16.5" customHeight="1"/>
    <row r="137" spans="24:27" ht="16.5" customHeight="1"/>
    <row r="138" spans="24:27" ht="16.5" customHeight="1"/>
    <row r="139" spans="24:27" ht="16.5" customHeight="1"/>
    <row r="140" spans="24:27" ht="16.5" customHeight="1"/>
    <row r="141" spans="24:27" ht="16.5" customHeight="1"/>
    <row r="142" spans="24:27" ht="16.5" customHeight="1"/>
    <row r="143" spans="24:27" ht="16.5" customHeight="1"/>
    <row r="144" spans="24:27" ht="16.5" customHeight="1"/>
    <row r="145" ht="16.5" customHeight="1"/>
    <row r="146" ht="16.5" customHeight="1"/>
    <row r="147" ht="16.5" customHeight="1"/>
    <row r="148" ht="16.5" customHeight="1"/>
    <row r="149" ht="16.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</sheetData>
  <mergeCells count="27">
    <mergeCell ref="A47:J47"/>
    <mergeCell ref="K47:L47"/>
    <mergeCell ref="M47:O47"/>
    <mergeCell ref="A45:J45"/>
    <mergeCell ref="K45:L45"/>
    <mergeCell ref="M45:O45"/>
    <mergeCell ref="A46:J46"/>
    <mergeCell ref="K46:L46"/>
    <mergeCell ref="M46:O46"/>
    <mergeCell ref="A43:J43"/>
    <mergeCell ref="K43:L43"/>
    <mergeCell ref="M43:O43"/>
    <mergeCell ref="A44:J44"/>
    <mergeCell ref="K44:L44"/>
    <mergeCell ref="M44:O44"/>
    <mergeCell ref="A32:O32"/>
    <mergeCell ref="L3:O3"/>
    <mergeCell ref="L4:O4"/>
    <mergeCell ref="A10:C10"/>
    <mergeCell ref="A12:L12"/>
    <mergeCell ref="A13:J13"/>
    <mergeCell ref="A14:J14"/>
    <mergeCell ref="A15:I15"/>
    <mergeCell ref="L15:O15"/>
    <mergeCell ref="C19:H22"/>
    <mergeCell ref="A30:O30"/>
    <mergeCell ref="A31:O31"/>
  </mergeCells>
  <printOptions horizontalCentered="1"/>
  <pageMargins left="0.25" right="0.25" top="0.75" bottom="0.75" header="0.3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C77F-14BB-405D-A690-3CAB5B9E3F1A}">
  <sheetPr>
    <pageSetUpPr fitToPage="1"/>
  </sheetPr>
  <dimension ref="A1:F73"/>
  <sheetViews>
    <sheetView tabSelected="1" workbookViewId="0">
      <selection activeCell="G68" sqref="G68"/>
    </sheetView>
  </sheetViews>
  <sheetFormatPr defaultRowHeight="15"/>
  <cols>
    <col min="1" max="1" width="10.7109375" style="25" customWidth="1"/>
    <col min="2" max="2" width="55.85546875" style="25" bestFit="1" customWidth="1"/>
    <col min="3" max="4" width="17.7109375" style="55" bestFit="1" customWidth="1"/>
    <col min="5" max="5" width="17.28515625" style="25" bestFit="1" customWidth="1"/>
    <col min="6" max="16384" width="9.140625" style="25"/>
  </cols>
  <sheetData>
    <row r="1" spans="1:5">
      <c r="A1" s="24"/>
      <c r="B1" s="24"/>
      <c r="C1" s="144"/>
      <c r="D1" s="144"/>
    </row>
    <row r="2" spans="1:5">
      <c r="A2" s="165" t="s">
        <v>211</v>
      </c>
      <c r="B2" s="165"/>
      <c r="C2" s="165"/>
      <c r="D2" s="165"/>
    </row>
    <row r="3" spans="1:5">
      <c r="A3" s="104" t="s">
        <v>118</v>
      </c>
      <c r="B3" s="45"/>
      <c r="C3" s="47"/>
      <c r="D3" s="46">
        <v>44926</v>
      </c>
    </row>
    <row r="4" spans="1:5" ht="15" customHeight="1">
      <c r="A4" s="141" t="s">
        <v>54</v>
      </c>
      <c r="B4" s="142" t="s">
        <v>55</v>
      </c>
      <c r="C4" s="146" t="s">
        <v>56</v>
      </c>
      <c r="D4" s="146"/>
    </row>
    <row r="5" spans="1:5">
      <c r="A5" s="141"/>
      <c r="B5" s="143"/>
      <c r="C5" s="48" t="s">
        <v>110</v>
      </c>
      <c r="D5" s="48" t="s">
        <v>217</v>
      </c>
    </row>
    <row r="6" spans="1:5" ht="15" customHeight="1">
      <c r="A6" s="8">
        <v>1</v>
      </c>
      <c r="B6" s="2" t="s">
        <v>64</v>
      </c>
      <c r="C6" s="49"/>
      <c r="D6" s="49"/>
    </row>
    <row r="7" spans="1:5" ht="15" customHeight="1">
      <c r="A7" s="8">
        <v>1.1000000000000001</v>
      </c>
      <c r="B7" s="2" t="s">
        <v>57</v>
      </c>
      <c r="C7" s="49"/>
      <c r="D7" s="49"/>
    </row>
    <row r="8" spans="1:5" ht="15" customHeight="1">
      <c r="A8" s="3" t="s">
        <v>0</v>
      </c>
      <c r="B8" s="3" t="s">
        <v>58</v>
      </c>
      <c r="C8" s="49">
        <v>1774085785.8099999</v>
      </c>
      <c r="D8" s="49">
        <f>2660936.4*1000</f>
        <v>2660936400</v>
      </c>
      <c r="E8" s="31"/>
    </row>
    <row r="9" spans="1:5" ht="15" customHeight="1">
      <c r="A9" s="3" t="s">
        <v>1</v>
      </c>
      <c r="B9" s="3" t="s">
        <v>59</v>
      </c>
      <c r="C9" s="49">
        <v>14776608152.02</v>
      </c>
      <c r="D9" s="49">
        <f>26172741.3*1000</f>
        <v>26172741300</v>
      </c>
    </row>
    <row r="10" spans="1:5" ht="15" customHeight="1">
      <c r="A10" s="3" t="s">
        <v>2</v>
      </c>
      <c r="B10" s="3" t="s">
        <v>60</v>
      </c>
      <c r="C10" s="49"/>
      <c r="D10" s="49"/>
    </row>
    <row r="11" spans="1:5" ht="15" customHeight="1">
      <c r="A11" s="3" t="s">
        <v>3</v>
      </c>
      <c r="B11" s="3" t="s">
        <v>181</v>
      </c>
      <c r="C11" s="52">
        <f>3080017817.8+1230740300</f>
        <v>4310758117.8000002</v>
      </c>
      <c r="D11" s="52">
        <f>4130293000-D13+303</f>
        <v>4128647753.48</v>
      </c>
      <c r="E11" s="105"/>
    </row>
    <row r="12" spans="1:5" ht="15" customHeight="1">
      <c r="A12" s="3" t="s">
        <v>4</v>
      </c>
      <c r="B12" s="3" t="s">
        <v>182</v>
      </c>
      <c r="C12" s="49"/>
      <c r="D12" s="49"/>
      <c r="E12" s="105"/>
    </row>
    <row r="13" spans="1:5" ht="15" customHeight="1">
      <c r="A13" s="3" t="s">
        <v>5</v>
      </c>
      <c r="B13" s="3" t="s">
        <v>61</v>
      </c>
      <c r="C13" s="49">
        <v>1655549.52</v>
      </c>
      <c r="D13" s="49">
        <v>1645549.52</v>
      </c>
    </row>
    <row r="14" spans="1:5" ht="15" customHeight="1">
      <c r="A14" s="3" t="s">
        <v>6</v>
      </c>
      <c r="B14" s="3" t="s">
        <v>62</v>
      </c>
      <c r="C14" s="49"/>
      <c r="D14" s="49"/>
    </row>
    <row r="15" spans="1:5" ht="15" customHeight="1">
      <c r="A15" s="3" t="s">
        <v>7</v>
      </c>
      <c r="B15" s="3" t="s">
        <v>63</v>
      </c>
      <c r="C15" s="49">
        <v>17501555.850000001</v>
      </c>
      <c r="D15" s="49">
        <f>133059.2*1000</f>
        <v>133059200.00000001</v>
      </c>
    </row>
    <row r="16" spans="1:5" ht="15" customHeight="1">
      <c r="A16" s="3" t="s">
        <v>8</v>
      </c>
      <c r="B16" s="4" t="s">
        <v>183</v>
      </c>
      <c r="C16" s="49">
        <f>+SUM(C8:C15)</f>
        <v>20880609161</v>
      </c>
      <c r="D16" s="49">
        <f>+SUM(D8:D15)</f>
        <v>33097030203</v>
      </c>
    </row>
    <row r="17" spans="1:6" ht="15" customHeight="1">
      <c r="A17" s="8">
        <v>1.2</v>
      </c>
      <c r="B17" s="2" t="s">
        <v>184</v>
      </c>
      <c r="C17" s="49"/>
      <c r="D17" s="49"/>
    </row>
    <row r="18" spans="1:6" ht="15" customHeight="1">
      <c r="A18" s="3" t="s">
        <v>9</v>
      </c>
      <c r="B18" s="5" t="s">
        <v>65</v>
      </c>
      <c r="C18" s="49">
        <v>4423947556.3100004</v>
      </c>
      <c r="D18" s="49">
        <v>4381510300</v>
      </c>
    </row>
    <row r="19" spans="1:6" ht="15" customHeight="1">
      <c r="A19" s="3" t="s">
        <v>10</v>
      </c>
      <c r="B19" s="3" t="s">
        <v>66</v>
      </c>
      <c r="C19" s="49"/>
      <c r="D19" s="49"/>
    </row>
    <row r="20" spans="1:6" ht="15" customHeight="1">
      <c r="A20" s="3" t="s">
        <v>11</v>
      </c>
      <c r="B20" s="3" t="s">
        <v>67</v>
      </c>
      <c r="C20" s="49"/>
      <c r="D20" s="49"/>
    </row>
    <row r="21" spans="1:6" ht="15" customHeight="1">
      <c r="A21" s="3" t="s">
        <v>12</v>
      </c>
      <c r="B21" s="3" t="s">
        <v>66</v>
      </c>
      <c r="C21" s="49"/>
      <c r="D21" s="49"/>
    </row>
    <row r="22" spans="1:6" ht="15" customHeight="1">
      <c r="A22" s="3" t="s">
        <v>13</v>
      </c>
      <c r="B22" s="5" t="s">
        <v>68</v>
      </c>
      <c r="C22" s="49"/>
      <c r="D22" s="49"/>
    </row>
    <row r="23" spans="1:6" ht="15" customHeight="1">
      <c r="A23" s="3" t="s">
        <v>14</v>
      </c>
      <c r="B23" s="3" t="s">
        <v>69</v>
      </c>
      <c r="C23" s="49"/>
      <c r="D23" s="49"/>
    </row>
    <row r="24" spans="1:6" ht="15" customHeight="1">
      <c r="A24" s="3" t="s">
        <v>15</v>
      </c>
      <c r="B24" s="5" t="s">
        <v>70</v>
      </c>
      <c r="C24" s="49">
        <v>2884650.4800000004</v>
      </c>
      <c r="D24" s="49">
        <v>40864300</v>
      </c>
    </row>
    <row r="25" spans="1:6" ht="15" customHeight="1">
      <c r="A25" s="3" t="s">
        <v>16</v>
      </c>
      <c r="B25" s="3" t="s">
        <v>66</v>
      </c>
      <c r="C25" s="49"/>
      <c r="D25" s="49"/>
    </row>
    <row r="26" spans="1:6" ht="15" customHeight="1">
      <c r="A26" s="3" t="s">
        <v>17</v>
      </c>
      <c r="B26" s="5" t="s">
        <v>71</v>
      </c>
      <c r="C26" s="49">
        <v>51000000</v>
      </c>
      <c r="D26" s="49">
        <v>51000000</v>
      </c>
    </row>
    <row r="27" spans="1:6" ht="15" customHeight="1">
      <c r="A27" s="3" t="s">
        <v>18</v>
      </c>
      <c r="B27" s="5" t="s">
        <v>72</v>
      </c>
      <c r="C27" s="49"/>
      <c r="D27" s="49"/>
    </row>
    <row r="28" spans="1:6" ht="15" customHeight="1">
      <c r="A28" s="3" t="s">
        <v>19</v>
      </c>
      <c r="B28" s="11" t="s">
        <v>73</v>
      </c>
      <c r="C28" s="49"/>
      <c r="D28" s="49"/>
      <c r="E28" s="31"/>
    </row>
    <row r="29" spans="1:6" ht="15" customHeight="1">
      <c r="A29" s="2" t="s">
        <v>10</v>
      </c>
      <c r="B29" s="4" t="s">
        <v>185</v>
      </c>
      <c r="C29" s="49">
        <f>+SUM(C18:C28)</f>
        <v>4477832206.79</v>
      </c>
      <c r="D29" s="49">
        <f>+SUM(D18:D28)</f>
        <v>4473374600</v>
      </c>
      <c r="E29" s="24"/>
      <c r="F29" s="31"/>
    </row>
    <row r="30" spans="1:6" ht="15" customHeight="1">
      <c r="A30" s="8">
        <v>1.3</v>
      </c>
      <c r="B30" s="22" t="s">
        <v>212</v>
      </c>
      <c r="C30" s="50">
        <f>+C16+C29</f>
        <v>25358441367.790001</v>
      </c>
      <c r="D30" s="50">
        <f>+D16+D29</f>
        <v>37570404803</v>
      </c>
      <c r="E30" s="31"/>
    </row>
    <row r="31" spans="1:6" ht="15" customHeight="1">
      <c r="A31" s="8">
        <v>2</v>
      </c>
      <c r="B31" s="6" t="s">
        <v>74</v>
      </c>
      <c r="C31" s="49"/>
      <c r="D31" s="49"/>
    </row>
    <row r="32" spans="1:6" ht="15" customHeight="1">
      <c r="A32" s="8">
        <v>2.1</v>
      </c>
      <c r="B32" s="7" t="s">
        <v>213</v>
      </c>
      <c r="C32" s="49"/>
      <c r="D32" s="49"/>
    </row>
    <row r="33" spans="1:5" ht="15" customHeight="1">
      <c r="A33" s="8" t="s">
        <v>20</v>
      </c>
      <c r="B33" s="7" t="s">
        <v>186</v>
      </c>
      <c r="C33" s="49"/>
      <c r="D33" s="49"/>
    </row>
    <row r="34" spans="1:5" ht="15" customHeight="1">
      <c r="A34" s="3" t="s">
        <v>21</v>
      </c>
      <c r="B34" s="5" t="s">
        <v>187</v>
      </c>
      <c r="C34" s="51">
        <f>5151930841.5-C50+1230740300</f>
        <v>2136007217.54</v>
      </c>
      <c r="D34" s="51">
        <f>1156799486.23+168584869.68</f>
        <v>1325384355.9100001</v>
      </c>
    </row>
    <row r="35" spans="1:5" ht="15" customHeight="1">
      <c r="A35" s="3" t="s">
        <v>22</v>
      </c>
      <c r="B35" s="5" t="s">
        <v>188</v>
      </c>
      <c r="C35" s="52">
        <v>157518711.83000001</v>
      </c>
      <c r="D35" s="52">
        <v>40409163.520000003</v>
      </c>
    </row>
    <row r="36" spans="1:5" ht="15" customHeight="1">
      <c r="A36" s="3" t="s">
        <v>23</v>
      </c>
      <c r="B36" s="5" t="s">
        <v>189</v>
      </c>
      <c r="C36" s="52">
        <v>149834123.41999999</v>
      </c>
      <c r="D36" s="52">
        <v>25441404.5</v>
      </c>
    </row>
    <row r="37" spans="1:5" ht="15" customHeight="1">
      <c r="A37" s="3" t="s">
        <v>24</v>
      </c>
      <c r="B37" s="5" t="s">
        <v>193</v>
      </c>
      <c r="C37" s="49"/>
      <c r="D37" s="52"/>
    </row>
    <row r="38" spans="1:5" ht="15" customHeight="1">
      <c r="A38" s="3" t="s">
        <v>25</v>
      </c>
      <c r="B38" s="5" t="s">
        <v>190</v>
      </c>
      <c r="C38" s="49"/>
      <c r="D38" s="52"/>
    </row>
    <row r="39" spans="1:5" ht="15" customHeight="1">
      <c r="A39" s="3" t="s">
        <v>26</v>
      </c>
      <c r="B39" s="5" t="s">
        <v>75</v>
      </c>
      <c r="C39" s="49"/>
      <c r="D39" s="52"/>
    </row>
    <row r="40" spans="1:5" ht="15" customHeight="1">
      <c r="A40" s="3" t="s">
        <v>27</v>
      </c>
      <c r="B40" s="5" t="s">
        <v>192</v>
      </c>
      <c r="C40" s="52">
        <v>36953177.689999998</v>
      </c>
      <c r="D40" s="52">
        <v>24438131.879999999</v>
      </c>
    </row>
    <row r="41" spans="1:5" ht="15" customHeight="1">
      <c r="A41" s="3" t="s">
        <v>28</v>
      </c>
      <c r="B41" s="5" t="s">
        <v>191</v>
      </c>
      <c r="C41" s="49"/>
      <c r="D41" s="52"/>
    </row>
    <row r="42" spans="1:5" ht="15" customHeight="1">
      <c r="A42" s="3" t="s">
        <v>29</v>
      </c>
      <c r="B42" s="5" t="s">
        <v>76</v>
      </c>
      <c r="C42" s="52">
        <v>500000000</v>
      </c>
      <c r="D42" s="52">
        <v>999831700.90999997</v>
      </c>
    </row>
    <row r="43" spans="1:5" ht="15" customHeight="1">
      <c r="A43" s="3" t="s">
        <v>30</v>
      </c>
      <c r="B43" s="5" t="s">
        <v>77</v>
      </c>
      <c r="C43" s="49">
        <v>2535395.7799999998</v>
      </c>
      <c r="D43" s="49">
        <v>377938477.04000002</v>
      </c>
    </row>
    <row r="44" spans="1:5" ht="15" customHeight="1">
      <c r="A44" s="3" t="s">
        <v>31</v>
      </c>
      <c r="B44" s="5" t="s">
        <v>78</v>
      </c>
      <c r="C44" s="49"/>
      <c r="D44" s="52"/>
    </row>
    <row r="45" spans="1:5" ht="15" customHeight="1">
      <c r="A45" s="3" t="s">
        <v>39</v>
      </c>
      <c r="B45" s="5" t="s">
        <v>111</v>
      </c>
      <c r="C45" s="51">
        <v>242236.57</v>
      </c>
      <c r="D45" s="51">
        <v>477871.19</v>
      </c>
    </row>
    <row r="46" spans="1:5" ht="15" customHeight="1">
      <c r="A46" s="3" t="s">
        <v>32</v>
      </c>
      <c r="B46" s="3" t="s">
        <v>112</v>
      </c>
      <c r="C46" s="52">
        <v>41084649</v>
      </c>
      <c r="D46" s="52">
        <v>41084649</v>
      </c>
    </row>
    <row r="47" spans="1:5" ht="15" customHeight="1">
      <c r="A47" s="2" t="s">
        <v>40</v>
      </c>
      <c r="B47" s="8" t="s">
        <v>194</v>
      </c>
      <c r="C47" s="53">
        <f>+SUM(C34:C46)</f>
        <v>3024175511.8300004</v>
      </c>
      <c r="D47" s="54">
        <f>+SUM(D34:D46)</f>
        <v>2835005753.9500003</v>
      </c>
      <c r="E47" s="31"/>
    </row>
    <row r="48" spans="1:5" ht="15" customHeight="1">
      <c r="A48" s="2" t="s">
        <v>33</v>
      </c>
      <c r="B48" s="7" t="s">
        <v>79</v>
      </c>
      <c r="C48" s="49"/>
      <c r="D48" s="49"/>
    </row>
    <row r="49" spans="1:4" ht="15" customHeight="1">
      <c r="A49" s="3" t="s">
        <v>34</v>
      </c>
      <c r="B49" s="3" t="s">
        <v>80</v>
      </c>
      <c r="C49" s="49"/>
      <c r="D49" s="49"/>
    </row>
    <row r="50" spans="1:4" ht="15" customHeight="1">
      <c r="A50" s="3" t="s">
        <v>35</v>
      </c>
      <c r="B50" s="3" t="s">
        <v>81</v>
      </c>
      <c r="C50" s="106">
        <v>4246663923.96</v>
      </c>
      <c r="D50" s="52">
        <v>20592499677.939999</v>
      </c>
    </row>
    <row r="51" spans="1:4" ht="15" customHeight="1">
      <c r="A51" s="3" t="s">
        <v>36</v>
      </c>
      <c r="B51" s="3" t="s">
        <v>82</v>
      </c>
      <c r="C51" s="49"/>
      <c r="D51" s="49"/>
    </row>
    <row r="52" spans="1:4" ht="15" customHeight="1">
      <c r="A52" s="3" t="s">
        <v>37</v>
      </c>
      <c r="B52" s="5" t="s">
        <v>77</v>
      </c>
      <c r="C52" s="49"/>
      <c r="D52" s="49"/>
    </row>
    <row r="53" spans="1:4" ht="15" customHeight="1">
      <c r="A53" s="3" t="s">
        <v>38</v>
      </c>
      <c r="B53" s="3" t="s">
        <v>83</v>
      </c>
      <c r="C53" s="49"/>
      <c r="D53" s="49"/>
    </row>
    <row r="54" spans="1:4" ht="15" customHeight="1">
      <c r="A54" s="2" t="s">
        <v>40</v>
      </c>
      <c r="B54" s="7" t="s">
        <v>84</v>
      </c>
      <c r="C54" s="49">
        <f>SUM(C49:C53)</f>
        <v>4246663923.96</v>
      </c>
      <c r="D54" s="49">
        <f>SUM(D49:D53)</f>
        <v>20592499677.939999</v>
      </c>
    </row>
    <row r="55" spans="1:4" ht="15" customHeight="1">
      <c r="A55" s="2" t="s">
        <v>41</v>
      </c>
      <c r="B55" s="4" t="s">
        <v>214</v>
      </c>
      <c r="C55" s="53">
        <f>+C47+C54</f>
        <v>7270839435.7900009</v>
      </c>
      <c r="D55" s="53">
        <f>+D47+D54</f>
        <v>23427505431.889999</v>
      </c>
    </row>
    <row r="56" spans="1:4" ht="15" customHeight="1">
      <c r="A56" s="8">
        <v>2.2999999999999998</v>
      </c>
      <c r="B56" s="7" t="s">
        <v>208</v>
      </c>
      <c r="C56" s="49"/>
      <c r="D56" s="49"/>
    </row>
    <row r="57" spans="1:4" ht="15" customHeight="1">
      <c r="A57" s="3" t="s">
        <v>42</v>
      </c>
      <c r="B57" s="5" t="s">
        <v>85</v>
      </c>
      <c r="C57" s="49"/>
      <c r="D57" s="49"/>
    </row>
    <row r="58" spans="1:4" ht="15" customHeight="1">
      <c r="A58" s="3" t="s">
        <v>43</v>
      </c>
      <c r="B58" s="5" t="s">
        <v>86</v>
      </c>
      <c r="C58" s="49">
        <v>1369488300</v>
      </c>
      <c r="D58" s="49">
        <v>1369488300</v>
      </c>
    </row>
    <row r="59" spans="1:4" ht="15" customHeight="1">
      <c r="A59" s="3" t="s">
        <v>44</v>
      </c>
      <c r="B59" s="5" t="s">
        <v>87</v>
      </c>
      <c r="C59" s="49"/>
      <c r="D59" s="49"/>
    </row>
    <row r="60" spans="1:4" ht="15" customHeight="1">
      <c r="A60" s="3" t="s">
        <v>45</v>
      </c>
      <c r="B60" s="7" t="s">
        <v>88</v>
      </c>
      <c r="C60" s="49"/>
      <c r="D60" s="49"/>
    </row>
    <row r="61" spans="1:4" ht="15" customHeight="1">
      <c r="A61" s="3" t="s">
        <v>46</v>
      </c>
      <c r="B61" s="5" t="s">
        <v>130</v>
      </c>
      <c r="C61" s="49">
        <v>7957309291</v>
      </c>
      <c r="D61" s="49">
        <v>7957309291</v>
      </c>
    </row>
    <row r="62" spans="1:4" ht="15" customHeight="1">
      <c r="A62" s="3" t="s">
        <v>47</v>
      </c>
      <c r="B62" s="3" t="s">
        <v>131</v>
      </c>
      <c r="C62" s="49">
        <v>3824524382.8200002</v>
      </c>
      <c r="D62" s="49">
        <v>3824524382.8200002</v>
      </c>
    </row>
    <row r="63" spans="1:4" ht="15" customHeight="1">
      <c r="A63" s="3" t="s">
        <v>48</v>
      </c>
      <c r="B63" s="5" t="s">
        <v>89</v>
      </c>
      <c r="C63" s="49"/>
      <c r="D63" s="49">
        <v>-600193925.70000005</v>
      </c>
    </row>
    <row r="64" spans="1:4" ht="15" customHeight="1">
      <c r="A64" s="3" t="s">
        <v>49</v>
      </c>
      <c r="B64" s="5" t="s">
        <v>90</v>
      </c>
      <c r="C64" s="53">
        <f>+C65+C66</f>
        <v>4936279958.1800003</v>
      </c>
      <c r="D64" s="53">
        <f>+D65+D66</f>
        <v>1591771322.9400005</v>
      </c>
    </row>
    <row r="65" spans="1:5" ht="15" customHeight="1">
      <c r="A65" s="3" t="s">
        <v>50</v>
      </c>
      <c r="B65" s="3" t="s">
        <v>91</v>
      </c>
      <c r="C65" s="49">
        <v>1634528834.6300001</v>
      </c>
      <c r="D65" s="49">
        <v>-3344508635.2399998</v>
      </c>
      <c r="E65" s="31"/>
    </row>
    <row r="66" spans="1:5" ht="15" customHeight="1">
      <c r="A66" s="3" t="s">
        <v>51</v>
      </c>
      <c r="B66" s="5" t="s">
        <v>92</v>
      </c>
      <c r="C66" s="52">
        <v>3301751123.5500002</v>
      </c>
      <c r="D66" s="52">
        <v>4936279958.1800003</v>
      </c>
    </row>
    <row r="67" spans="1:5" ht="15" customHeight="1">
      <c r="A67" s="2" t="s">
        <v>52</v>
      </c>
      <c r="B67" s="6" t="s">
        <v>215</v>
      </c>
      <c r="C67" s="53">
        <f>+C58+C64+C61+C62</f>
        <v>18087601932</v>
      </c>
      <c r="D67" s="53">
        <f>+D58+D64+D61+D62+D63</f>
        <v>14142899371.059999</v>
      </c>
      <c r="E67" s="31"/>
    </row>
    <row r="68" spans="1:5" ht="15" customHeight="1">
      <c r="A68" s="3">
        <v>2.4</v>
      </c>
      <c r="B68" s="9" t="s">
        <v>93</v>
      </c>
      <c r="C68" s="49"/>
      <c r="D68" s="49"/>
    </row>
    <row r="69" spans="1:5" ht="15" customHeight="1">
      <c r="A69" s="2" t="s">
        <v>53</v>
      </c>
      <c r="B69" s="2" t="s">
        <v>209</v>
      </c>
      <c r="C69" s="50">
        <f>+C55+C67</f>
        <v>25358441367.790001</v>
      </c>
      <c r="D69" s="50">
        <f>+D55+D67</f>
        <v>37570404802.949997</v>
      </c>
      <c r="E69" s="31"/>
    </row>
    <row r="70" spans="1:5">
      <c r="C70" s="55">
        <f>+C30-C69</f>
        <v>0</v>
      </c>
      <c r="D70" s="55">
        <f>+D30-D69</f>
        <v>5.00030517578125E-2</v>
      </c>
    </row>
    <row r="71" spans="1:5">
      <c r="B71" s="56" t="s">
        <v>94</v>
      </c>
      <c r="C71" s="139"/>
      <c r="D71" s="140"/>
    </row>
    <row r="72" spans="1:5">
      <c r="B72" s="56"/>
      <c r="C72" s="139"/>
      <c r="D72" s="140"/>
    </row>
    <row r="73" spans="1:5">
      <c r="B73" s="56" t="s">
        <v>95</v>
      </c>
      <c r="C73" s="139"/>
      <c r="D73" s="140"/>
    </row>
  </sheetData>
  <mergeCells count="8">
    <mergeCell ref="C71:D71"/>
    <mergeCell ref="C72:D72"/>
    <mergeCell ref="C73:D73"/>
    <mergeCell ref="C1:D1"/>
    <mergeCell ref="A2:D2"/>
    <mergeCell ref="A4:A5"/>
    <mergeCell ref="B4:B5"/>
    <mergeCell ref="C4:D4"/>
  </mergeCells>
  <printOptions horizontalCentered="1"/>
  <pageMargins left="0.25" right="0.25" top="0.75" bottom="0.75" header="0.3" footer="0.3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9DF4-2E0D-4A47-BC37-AE00AC3E822F}">
  <sheetPr>
    <pageSetUpPr fitToPage="1"/>
  </sheetPr>
  <dimension ref="A1:D26"/>
  <sheetViews>
    <sheetView tabSelected="1" topLeftCell="A13" workbookViewId="0">
      <selection activeCell="G68" sqref="G68"/>
    </sheetView>
  </sheetViews>
  <sheetFormatPr defaultRowHeight="12.75"/>
  <cols>
    <col min="2" max="2" width="40.140625" bestFit="1" customWidth="1"/>
    <col min="3" max="3" width="15.85546875" style="122" customWidth="1"/>
    <col min="4" max="4" width="19.28515625" style="122" bestFit="1" customWidth="1"/>
  </cols>
  <sheetData>
    <row r="1" spans="1:4" s="25" customFormat="1" ht="15">
      <c r="A1" s="24"/>
      <c r="B1" s="24"/>
      <c r="C1" s="144"/>
      <c r="D1" s="144"/>
    </row>
    <row r="2" spans="1:4" s="25" customFormat="1" ht="15">
      <c r="A2" s="165" t="s">
        <v>96</v>
      </c>
      <c r="B2" s="165"/>
      <c r="C2" s="165"/>
      <c r="D2" s="165"/>
    </row>
    <row r="3" spans="1:4" s="25" customFormat="1" ht="15">
      <c r="A3" s="104" t="s">
        <v>118</v>
      </c>
      <c r="B3" s="45"/>
      <c r="C3" s="47"/>
      <c r="D3" s="46">
        <v>44926</v>
      </c>
    </row>
    <row r="4" spans="1:4" ht="15">
      <c r="A4" s="110"/>
      <c r="B4" s="111"/>
      <c r="C4" s="117"/>
      <c r="D4" s="118" t="s">
        <v>220</v>
      </c>
    </row>
    <row r="5" spans="1:4" ht="17.25" customHeight="1">
      <c r="A5" s="112" t="s">
        <v>54</v>
      </c>
      <c r="B5" s="113" t="s">
        <v>55</v>
      </c>
      <c r="C5" s="119" t="s">
        <v>110</v>
      </c>
      <c r="D5" s="119" t="s">
        <v>217</v>
      </c>
    </row>
    <row r="6" spans="1:4" ht="17.25" customHeight="1">
      <c r="A6" s="114">
        <v>1</v>
      </c>
      <c r="B6" s="115" t="s">
        <v>221</v>
      </c>
      <c r="C6" s="120">
        <f>3378231.3*1000</f>
        <v>3378231300</v>
      </c>
      <c r="D6" s="120">
        <f>2447245.8*1000</f>
        <v>2447245800</v>
      </c>
    </row>
    <row r="7" spans="1:4" ht="17.25" customHeight="1">
      <c r="A7" s="114">
        <v>1.1000000000000001</v>
      </c>
      <c r="B7" s="116" t="s">
        <v>222</v>
      </c>
      <c r="C7" s="120">
        <f>474456.4*1000</f>
        <v>474456400</v>
      </c>
      <c r="D7" s="120">
        <f>209782.7*1000</f>
        <v>209782700</v>
      </c>
    </row>
    <row r="8" spans="1:4" ht="17.25" customHeight="1">
      <c r="A8" s="114">
        <v>1.2</v>
      </c>
      <c r="B8" s="116" t="s">
        <v>223</v>
      </c>
      <c r="C8" s="120">
        <f>2145215.3*1000</f>
        <v>2145215299.9999998</v>
      </c>
      <c r="D8" s="120">
        <f>1844881.1*1000</f>
        <v>1844881100</v>
      </c>
    </row>
    <row r="9" spans="1:4" ht="17.25" customHeight="1">
      <c r="A9" s="114">
        <v>1.3</v>
      </c>
      <c r="B9" s="116" t="s">
        <v>224</v>
      </c>
      <c r="C9" s="120">
        <f>758559.6*1000</f>
        <v>758559600</v>
      </c>
      <c r="D9" s="120">
        <f>392582*1000</f>
        <v>392582000</v>
      </c>
    </row>
    <row r="10" spans="1:4" ht="17.25" customHeight="1">
      <c r="A10" s="114">
        <v>2</v>
      </c>
      <c r="B10" s="116" t="s">
        <v>113</v>
      </c>
      <c r="C10" s="120">
        <f>109813*1000</f>
        <v>109813000</v>
      </c>
      <c r="D10" s="120">
        <f>160147.4*1000</f>
        <v>160147400</v>
      </c>
    </row>
    <row r="11" spans="1:4" ht="17.25" customHeight="1">
      <c r="A11" s="114">
        <v>3</v>
      </c>
      <c r="B11" s="116" t="s">
        <v>126</v>
      </c>
      <c r="C11" s="120">
        <v>0</v>
      </c>
      <c r="D11" s="120">
        <f>544518*1000</f>
        <v>544518000</v>
      </c>
    </row>
    <row r="12" spans="1:4" ht="17.25" customHeight="1">
      <c r="A12" s="114">
        <v>4</v>
      </c>
      <c r="B12" s="115" t="s">
        <v>115</v>
      </c>
      <c r="C12" s="121">
        <f>179786.3*1000</f>
        <v>179786300</v>
      </c>
      <c r="D12" s="121">
        <f>149583.7*1000</f>
        <v>149583700</v>
      </c>
    </row>
    <row r="13" spans="1:4" ht="17.25" customHeight="1">
      <c r="A13" s="114">
        <v>4.0999999999999996</v>
      </c>
      <c r="B13" s="116" t="s">
        <v>225</v>
      </c>
      <c r="C13" s="120">
        <f>179786.3*1000</f>
        <v>179786300</v>
      </c>
      <c r="D13" s="120">
        <f>149583.7*1000</f>
        <v>149583700</v>
      </c>
    </row>
    <row r="14" spans="1:4" ht="17.25" customHeight="1">
      <c r="A14" s="114">
        <v>5</v>
      </c>
      <c r="B14" s="116" t="s">
        <v>116</v>
      </c>
      <c r="C14" s="120">
        <f>42967.3*1000</f>
        <v>42967300</v>
      </c>
      <c r="D14" s="120">
        <f>162247.7*1000</f>
        <v>162247700</v>
      </c>
    </row>
    <row r="15" spans="1:4" ht="17.25" customHeight="1">
      <c r="A15" s="114">
        <v>6</v>
      </c>
      <c r="B15" s="116" t="s">
        <v>119</v>
      </c>
      <c r="C15" s="120">
        <f>2066173.4*1000</f>
        <v>2066173400</v>
      </c>
      <c r="D15" s="120">
        <f>2430353.5*1000</f>
        <v>2430353500</v>
      </c>
    </row>
    <row r="16" spans="1:4" ht="17.25" customHeight="1">
      <c r="A16" s="114">
        <v>7</v>
      </c>
      <c r="B16" s="116" t="s">
        <v>120</v>
      </c>
      <c r="C16" s="120">
        <f>401080.4*1000</f>
        <v>401080400</v>
      </c>
      <c r="D16" s="120">
        <f>1162235.7*1000</f>
        <v>1162235700</v>
      </c>
    </row>
    <row r="17" spans="1:4" ht="17.25" customHeight="1">
      <c r="A17" s="114">
        <v>8</v>
      </c>
      <c r="B17" s="116" t="s">
        <v>121</v>
      </c>
      <c r="C17" s="120">
        <f>48193.2*1000</f>
        <v>48193200</v>
      </c>
      <c r="D17" s="120">
        <f>1800*1000</f>
        <v>1800000</v>
      </c>
    </row>
    <row r="18" spans="1:4" ht="17.25" customHeight="1">
      <c r="A18" s="114">
        <v>9</v>
      </c>
      <c r="B18" s="116" t="s">
        <v>226</v>
      </c>
      <c r="C18" s="120">
        <f>306583.3*1000</f>
        <v>306583300</v>
      </c>
      <c r="D18" s="120">
        <f>-3229522.8*1000</f>
        <v>-3229522800</v>
      </c>
    </row>
    <row r="19" spans="1:4" ht="17.25" customHeight="1">
      <c r="A19" s="114">
        <v>10</v>
      </c>
      <c r="B19" s="116" t="s">
        <v>227</v>
      </c>
      <c r="C19" s="120">
        <v>0</v>
      </c>
      <c r="D19" s="120">
        <f>15812.5*1000</f>
        <v>15812500</v>
      </c>
    </row>
    <row r="20" spans="1:4" ht="17.25" customHeight="1">
      <c r="A20" s="114">
        <v>11</v>
      </c>
      <c r="B20" s="116" t="s">
        <v>228</v>
      </c>
      <c r="C20" s="120">
        <v>0</v>
      </c>
      <c r="D20" s="120">
        <v>0</v>
      </c>
    </row>
    <row r="21" spans="1:4" ht="17.25" customHeight="1">
      <c r="A21" s="114">
        <v>12</v>
      </c>
      <c r="B21" s="116" t="s">
        <v>123</v>
      </c>
      <c r="C21" s="120">
        <f>255611.7*1000</f>
        <v>255611700</v>
      </c>
      <c r="D21" s="120">
        <v>0</v>
      </c>
    </row>
    <row r="22" spans="1:4" ht="17.25" customHeight="1">
      <c r="A22" s="114">
        <v>13</v>
      </c>
      <c r="B22" s="115" t="s">
        <v>124</v>
      </c>
      <c r="C22" s="121">
        <f>1757545.9*1000</f>
        <v>1757545900</v>
      </c>
      <c r="D22" s="121">
        <f>-3344356.9*1000</f>
        <v>-3344356900</v>
      </c>
    </row>
    <row r="23" spans="1:4" ht="17.25" customHeight="1">
      <c r="A23" s="114">
        <v>14</v>
      </c>
      <c r="B23" s="116" t="s">
        <v>195</v>
      </c>
      <c r="C23" s="120">
        <f>123017.1*1000</f>
        <v>123017100</v>
      </c>
      <c r="D23" s="120">
        <f>151.8*1000</f>
        <v>151800</v>
      </c>
    </row>
    <row r="24" spans="1:4" ht="17.25" customHeight="1">
      <c r="A24" s="114">
        <v>15</v>
      </c>
      <c r="B24" s="115" t="s">
        <v>125</v>
      </c>
      <c r="C24" s="121">
        <f>1634528.8*1000</f>
        <v>1634528800</v>
      </c>
      <c r="D24" s="121">
        <f>-3344508.7*1000</f>
        <v>-3344508700</v>
      </c>
    </row>
    <row r="25" spans="1:4" ht="17.25" customHeight="1">
      <c r="A25" s="114">
        <v>17</v>
      </c>
      <c r="B25" s="115" t="s">
        <v>127</v>
      </c>
      <c r="C25" s="121">
        <f>1634528.8*1000</f>
        <v>1634528800</v>
      </c>
      <c r="D25" s="121">
        <f>-3344508.7*1000</f>
        <v>-3344508700</v>
      </c>
    </row>
    <row r="26" spans="1:4" ht="15">
      <c r="A26" s="110" t="s">
        <v>229</v>
      </c>
      <c r="B26" s="111" t="s">
        <v>229</v>
      </c>
      <c r="C26" s="117" t="s">
        <v>229</v>
      </c>
      <c r="D26" s="117"/>
    </row>
  </sheetData>
  <mergeCells count="2">
    <mergeCell ref="C1:D1"/>
    <mergeCell ref="A2:D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299B-BF3D-4A3B-9016-BD43F5DA7129}">
  <sheetPr>
    <pageSetUpPr fitToPage="1"/>
  </sheetPr>
  <dimension ref="A1:H18"/>
  <sheetViews>
    <sheetView tabSelected="1" workbookViewId="0">
      <selection activeCell="G68" sqref="G68"/>
    </sheetView>
  </sheetViews>
  <sheetFormatPr defaultRowHeight="15"/>
  <cols>
    <col min="1" max="1" width="5" style="39" customWidth="1"/>
    <col min="2" max="2" width="49.140625" style="39" bestFit="1" customWidth="1"/>
    <col min="3" max="3" width="15.7109375" style="68" bestFit="1" customWidth="1"/>
    <col min="4" max="4" width="24.140625" style="68" bestFit="1" customWidth="1"/>
    <col min="5" max="5" width="21.5703125" style="68" bestFit="1" customWidth="1"/>
    <col min="6" max="6" width="16.7109375" style="68" bestFit="1" customWidth="1"/>
    <col min="7" max="7" width="17.7109375" style="68" bestFit="1" customWidth="1"/>
    <col min="8" max="8" width="16.7109375" style="39" bestFit="1" customWidth="1"/>
    <col min="9" max="9" width="11.5703125" style="39" bestFit="1" customWidth="1"/>
    <col min="10" max="16384" width="9.140625" style="39"/>
  </cols>
  <sheetData>
    <row r="1" spans="1:8">
      <c r="G1" s="154"/>
      <c r="H1" s="154"/>
    </row>
    <row r="2" spans="1:8">
      <c r="A2" s="40" t="s">
        <v>118</v>
      </c>
      <c r="G2" s="154"/>
      <c r="H2" s="154"/>
    </row>
    <row r="3" spans="1:8">
      <c r="A3" s="166" t="s">
        <v>101</v>
      </c>
      <c r="B3" s="166"/>
      <c r="C3" s="166"/>
      <c r="D3" s="166"/>
      <c r="E3" s="166"/>
      <c r="F3" s="166"/>
      <c r="G3" s="166"/>
      <c r="H3" s="166"/>
    </row>
    <row r="4" spans="1:8">
      <c r="A4" s="156"/>
      <c r="B4" s="156"/>
      <c r="G4" s="69"/>
      <c r="H4" s="41"/>
    </row>
    <row r="5" spans="1:8">
      <c r="A5" s="155"/>
      <c r="B5" s="155"/>
      <c r="G5" s="46">
        <v>44926</v>
      </c>
    </row>
    <row r="6" spans="1:8">
      <c r="G6" s="70" t="s">
        <v>97</v>
      </c>
    </row>
    <row r="7" spans="1:8" s="43" customFormat="1">
      <c r="A7" s="42"/>
      <c r="B7" s="42"/>
      <c r="C7" s="71" t="s">
        <v>129</v>
      </c>
      <c r="D7" s="71" t="s">
        <v>130</v>
      </c>
      <c r="E7" s="71" t="s">
        <v>131</v>
      </c>
      <c r="F7" s="71" t="s">
        <v>132</v>
      </c>
      <c r="G7" s="71" t="s">
        <v>133</v>
      </c>
      <c r="H7" s="35"/>
    </row>
    <row r="8" spans="1:8" ht="15" customHeight="1">
      <c r="A8" s="36"/>
      <c r="B8" s="36" t="s">
        <v>109</v>
      </c>
      <c r="C8" s="72">
        <v>1369488300</v>
      </c>
      <c r="D8" s="72">
        <v>7957309291</v>
      </c>
      <c r="E8" s="72">
        <v>3824524382.8200002</v>
      </c>
      <c r="F8" s="68">
        <v>4936279958</v>
      </c>
      <c r="G8" s="72">
        <f>SUM(C8:F8)</f>
        <v>18087601931.82</v>
      </c>
      <c r="H8" s="34"/>
    </row>
    <row r="9" spans="1:8" ht="15" customHeight="1">
      <c r="A9" s="36"/>
      <c r="B9" s="36" t="s">
        <v>230</v>
      </c>
      <c r="C9" s="72"/>
      <c r="D9" s="72"/>
      <c r="E9" s="72"/>
      <c r="F9" s="74">
        <v>-2977300</v>
      </c>
      <c r="G9" s="72">
        <f>+F9</f>
        <v>-2977300</v>
      </c>
      <c r="H9" s="34"/>
    </row>
    <row r="10" spans="1:8" ht="15" customHeight="1">
      <c r="A10" s="37"/>
      <c r="B10" s="38" t="s">
        <v>196</v>
      </c>
      <c r="C10" s="73"/>
      <c r="D10" s="73"/>
      <c r="E10" s="73"/>
      <c r="F10" s="73">
        <v>-3344508700</v>
      </c>
      <c r="G10" s="72">
        <f t="shared" ref="G10:G11" si="0">SUM(C10:F10)</f>
        <v>-3344508700</v>
      </c>
      <c r="H10" s="33"/>
    </row>
    <row r="11" spans="1:8">
      <c r="A11" s="36"/>
      <c r="B11" s="36" t="s">
        <v>128</v>
      </c>
      <c r="C11" s="72"/>
      <c r="D11" s="72"/>
      <c r="E11" s="72">
        <v>-597216660</v>
      </c>
      <c r="F11" s="72"/>
      <c r="G11" s="72">
        <f t="shared" si="0"/>
        <v>-597216660</v>
      </c>
      <c r="H11" s="34"/>
    </row>
    <row r="12" spans="1:8">
      <c r="A12" s="44"/>
      <c r="B12" s="44" t="s">
        <v>110</v>
      </c>
      <c r="C12" s="74">
        <f>+C8+C10</f>
        <v>1369488300</v>
      </c>
      <c r="D12" s="74">
        <f t="shared" ref="D12" si="1">+D8+D10</f>
        <v>7957309291</v>
      </c>
      <c r="E12" s="74">
        <f>+E8+E10+E11</f>
        <v>3227307722.8200002</v>
      </c>
      <c r="F12" s="74">
        <f>+F8+F10+F9</f>
        <v>1588793958</v>
      </c>
      <c r="G12" s="72">
        <f>SUM(C12:F12)</f>
        <v>14142899271.82</v>
      </c>
    </row>
    <row r="16" spans="1:8">
      <c r="B16" s="56" t="s">
        <v>94</v>
      </c>
    </row>
    <row r="17" spans="1:8">
      <c r="B17" s="56"/>
    </row>
    <row r="18" spans="1:8" s="68" customFormat="1">
      <c r="A18" s="39"/>
      <c r="B18" s="56" t="s">
        <v>95</v>
      </c>
      <c r="H18" s="39"/>
    </row>
  </sheetData>
  <mergeCells count="5">
    <mergeCell ref="G1:H1"/>
    <mergeCell ref="G2:H2"/>
    <mergeCell ref="A3:H3"/>
    <mergeCell ref="A4:B4"/>
    <mergeCell ref="A5:B5"/>
  </mergeCells>
  <printOptions horizontalCentered="1"/>
  <pageMargins left="0.25" right="0.25" top="0.75" bottom="0.75" header="0.3" footer="0.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Nuur</vt:lpstr>
      <vt:lpstr>balance</vt:lpstr>
      <vt:lpstr>OUDT</vt:lpstr>
      <vt:lpstr>UUT</vt:lpstr>
      <vt:lpstr>MGT</vt:lpstr>
      <vt:lpstr>Nuur-2022</vt:lpstr>
      <vt:lpstr>Balance-2022</vt:lpstr>
      <vt:lpstr>OUDT 2022</vt:lpstr>
      <vt:lpstr>UUT-2022</vt:lpstr>
      <vt:lpstr>MGT-2022</vt:lpstr>
    </vt:vector>
  </TitlesOfParts>
  <Company>Rich-Mogol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Yanjindulam</dc:creator>
  <cp:lastModifiedBy>Admin</cp:lastModifiedBy>
  <cp:lastPrinted>2023-02-16T06:48:08Z</cp:lastPrinted>
  <dcterms:created xsi:type="dcterms:W3CDTF">2001-10-18T18:43:08Z</dcterms:created>
  <dcterms:modified xsi:type="dcterms:W3CDTF">2023-02-16T09:04:46Z</dcterms:modified>
</cp:coreProperties>
</file>